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4980" windowHeight="13990" tabRatio="669"/>
  </bookViews>
  <sheets>
    <sheet name="作成シート" sheetId="23" r:id="rId1"/>
    <sheet name="冒険現在値" sheetId="26" r:id="rId2"/>
    <sheet name="戦闘現在値" sheetId="13" r:id="rId3"/>
    <sheet name="所持金" sheetId="12" r:id="rId4"/>
    <sheet name="冒険結果" sheetId="10" r:id="rId5"/>
    <sheet name="キャラクターシート" sheetId="25" r:id="rId6"/>
    <sheet name="テキストシート" sheetId="19" r:id="rId7"/>
    <sheet name="装備" sheetId="15" r:id="rId8"/>
    <sheet name="その他の所持品" sheetId="22" r:id="rId9"/>
    <sheet name="プロフィール" sheetId="7" r:id="rId10"/>
    <sheet name="能力値" sheetId="2" r:id="rId11"/>
    <sheet name="状態" sheetId="3" r:id="rId12"/>
    <sheet name="冒険者職業レベル" sheetId="4" r:id="rId13"/>
    <sheet name="習得呪文" sheetId="21" r:id="rId14"/>
    <sheet name="冒険者技能" sheetId="5" r:id="rId15"/>
    <sheet name="一般技能" sheetId="6" r:id="rId16"/>
    <sheet name="追加成長点" sheetId="11" r:id="rId17"/>
    <sheet name="エラー" sheetId="24" r:id="rId18"/>
    <sheet name="ラベル" sheetId="8" r:id="rId19"/>
    <sheet name="固定値" sheetId="9" r:id="rId20"/>
    <sheet name="武器表" sheetId="16" r:id="rId21"/>
    <sheet name="鎧表" sheetId="17" r:id="rId22"/>
    <sheet name="盾表" sheetId="18" r:id="rId23"/>
    <sheet name="計算シート" sheetId="1" r:id="rId24"/>
  </sheets>
  <definedNames>
    <definedName name="なし">固定値!$BL$3:$BL$243</definedName>
    <definedName name="一般技能">ラベル!$AV$2:$AV$137</definedName>
    <definedName name="一般技能_芸能">ラベル!$AW$2:$AW$20</definedName>
    <definedName name="一般技能_交渉">ラベル!$AX$2:$AX$167</definedName>
    <definedName name="一般技能_職人">ラベル!$AY$2:$AY$167</definedName>
    <definedName name="一般技能_信仰心">ラベル!$AZ$2:$AZ$167</definedName>
    <definedName name="一般技能_生産業">ラベル!$BA$2:$BA$167</definedName>
    <definedName name="鎧_衣鎧">ラベル!$BO$2:$BO$24</definedName>
    <definedName name="鎧_軽鎧">ラベル!$BP$2:$BP$24</definedName>
    <definedName name="鎧_重鎧">ラベル!$BQ$2:$BQ$24</definedName>
    <definedName name="鎧種別">ラベル!$BM$2:$BM$5</definedName>
    <definedName name="鎧種別絞り込みなし">ラベル!$BN$2:$BN$24</definedName>
    <definedName name="奇跡">ラベル!$L$2:$L$56</definedName>
    <definedName name="騎乗">固定値!$DY$2:$DY$6</definedName>
    <definedName name="技能一覧">ラベル!$AE$2:$AE$462</definedName>
    <definedName name="技能一覧_初歩">ラベル!$AF$2:$AF$112</definedName>
    <definedName name="技能絞り込み">ラベル!$AJ$2:$AJ$18</definedName>
    <definedName name="技能絞り込みなし">ラベル!$AK$2:$AK$462</definedName>
    <definedName name="種族">ラベル!$C$2:$C$6</definedName>
    <definedName name="種別絞り込みなし">ラベル!$AI$2:$AI$131</definedName>
    <definedName name="呪文">固定値!$BF$2:$BF$131</definedName>
    <definedName name="呪文種別">ラベル!$AH$2:$AH$6</definedName>
    <definedName name="盾種別">ラベル!$BR$2:$BR$4</definedName>
    <definedName name="盾種別絞り込みなし">ラベル!$BS$2:$BS$121</definedName>
    <definedName name="小型盾">ラベル!$BT$2:$BT$121</definedName>
    <definedName name="状態タイプ">ラベル!$B$2:$B$3</definedName>
    <definedName name="状態タイプ選択">ラベル!$E$2:$E$4</definedName>
    <definedName name="信仰">ラベル!$BV$2:$BV$13</definedName>
    <definedName name="真言呪文">ラベル!$K$2:$K$56</definedName>
    <definedName name="神官">固定値!$DJ$2:$DJ$12</definedName>
    <definedName name="精霊使い">固定値!$DL$2:$DL$12</definedName>
    <definedName name="精霊術">ラベル!$N$2:$N$56</definedName>
    <definedName name="斥候">固定値!$DH$2:$DH$12</definedName>
    <definedName name="戦士">固定値!$DE$2:$DE$12</definedName>
    <definedName name="祖竜術">ラベル!$M$2:$M$25</definedName>
    <definedName name="大型盾">ラベル!$BU$2:$BU$12</definedName>
    <definedName name="入手手段">ラベル!$BW$2:$BW$3</definedName>
    <definedName name="能力値タイプ">ラベル!$A$2:$A$3</definedName>
    <definedName name="武器_格闘武器">ラベル!$BL$2:$BL$181</definedName>
    <definedName name="武器_戦槌">ラベル!$BF$2:$BF$13</definedName>
    <definedName name="武器_槍">ラベル!$BJ$2:$BJ$18</definedName>
    <definedName name="武器_投擲武器">ラベル!$BH$2:$BH$14</definedName>
    <definedName name="武器_斧">ラベル!$BI$2:$BI$18</definedName>
    <definedName name="武器_片手剣">ラベル!$BD$2:$BD$181</definedName>
    <definedName name="武器_両手剣">ラベル!$BE$2:$BE$18</definedName>
    <definedName name="武器_弩弓">ラベル!$BG$2:$BG$118</definedName>
    <definedName name="武器_棍杖">ラベル!$BK$2:$BK$18</definedName>
    <definedName name="武器種別">ラベル!$BB$2:$BB$11</definedName>
    <definedName name="武器種別絞り込みなし">ラベル!$BC$2:$BC$108</definedName>
    <definedName name="武道家">固定値!$DF$2:$DF$12</definedName>
    <definedName name="冒険アイテム">固定値!$BL$2:$BL$259</definedName>
    <definedName name="冒険者技能_呪文遣い職業向け">ラベル!$AQ$2:$AQ$167</definedName>
    <definedName name="冒険者技能_呪文遣い職業向け_遣い手">ラベル!$AR$2:$AR$167</definedName>
    <definedName name="冒険者技能_呪文遣い職業向け_呪文熟達">ラベル!$AS$2:$AS$167</definedName>
    <definedName name="冒険者技能_呪文遣い職業向け_呪文増強">ラベル!$AT$2:$AT$167</definedName>
    <definedName name="冒険者技能_呪文遣い職業向け_呪文追加">ラベル!$AU$2:$AU$167</definedName>
    <definedName name="冒険者技能_職業共通">ラベル!$AL$2:$AL$167</definedName>
    <definedName name="冒険者技能_戦士系職業向け">ラベル!$AM$2:$AM$167</definedName>
    <definedName name="冒険者技能_戦士系職業向け_鎧">ラベル!$AP$2:$AP$167</definedName>
    <definedName name="冒険者技能_戦士系職業向け_攻撃">ラベル!$AN$2:$AN$167</definedName>
    <definedName name="冒険者技能_戦士系職業向け_武器">ラベル!$AO$2:$AO$167</definedName>
    <definedName name="冒険者職業絞り込みなし">固定値!$DD$2:$DD$82</definedName>
    <definedName name="冒険者等級">ラベル!$D$2:$D$10</definedName>
    <definedName name="魔術師">固定値!$DI$2:$DI$12</definedName>
    <definedName name="野伏">固定値!$DG$2:$DG$12</definedName>
    <definedName name="竜司祭">固定値!$DK$2:$DK$12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9" i="3" l="1"/>
  <c r="H125" i="3"/>
  <c r="E125" i="3"/>
  <c r="H124" i="3"/>
  <c r="E124" i="3"/>
  <c r="H123" i="3"/>
  <c r="E123" i="3"/>
  <c r="H122" i="3"/>
  <c r="E122" i="3"/>
  <c r="H121" i="3"/>
  <c r="E121" i="3"/>
  <c r="H120" i="3"/>
  <c r="E120" i="3"/>
  <c r="H119" i="3"/>
  <c r="D98" i="3"/>
  <c r="D99" i="3" s="1"/>
  <c r="G121" i="3" s="1"/>
  <c r="H107" i="3"/>
  <c r="H106" i="3"/>
  <c r="H105" i="3"/>
  <c r="H104" i="3"/>
  <c r="H103" i="3"/>
  <c r="H102" i="3"/>
  <c r="H101" i="3"/>
  <c r="H70" i="3"/>
  <c r="H69" i="3"/>
  <c r="H68" i="3"/>
  <c r="H67" i="3"/>
  <c r="H66" i="3"/>
  <c r="H65" i="3"/>
  <c r="H64" i="3"/>
  <c r="E88" i="3"/>
  <c r="E87" i="3"/>
  <c r="E86" i="3"/>
  <c r="E85" i="3"/>
  <c r="E84" i="3"/>
  <c r="E83" i="3"/>
  <c r="E82" i="3"/>
  <c r="E70" i="3"/>
  <c r="E69" i="3"/>
  <c r="E68" i="3"/>
  <c r="E67" i="3"/>
  <c r="E66" i="3"/>
  <c r="E65" i="3"/>
  <c r="E64" i="3"/>
  <c r="H52" i="3"/>
  <c r="H51" i="3"/>
  <c r="H50" i="3"/>
  <c r="H49" i="3"/>
  <c r="H48" i="3"/>
  <c r="H47" i="3"/>
  <c r="H46" i="3"/>
  <c r="G122" i="3" l="1"/>
  <c r="F122" i="3"/>
  <c r="G124" i="3"/>
  <c r="G125" i="3"/>
  <c r="F125" i="3"/>
  <c r="D132" i="3" s="1"/>
  <c r="D133" i="3"/>
  <c r="B20" i="26" s="1"/>
  <c r="D128" i="3"/>
  <c r="F124" i="3"/>
  <c r="D131" i="3" s="1"/>
  <c r="G119" i="3"/>
  <c r="D134" i="3"/>
  <c r="F121" i="3"/>
  <c r="G123" i="3"/>
  <c r="F123" i="3"/>
  <c r="D130" i="3" s="1"/>
  <c r="F119" i="3"/>
  <c r="G120" i="3"/>
  <c r="F120" i="3"/>
  <c r="D127" i="3" s="1"/>
  <c r="F107" i="3"/>
  <c r="F103" i="3"/>
  <c r="F101" i="3"/>
  <c r="G106" i="3"/>
  <c r="G102" i="3"/>
  <c r="F102" i="3"/>
  <c r="D109" i="3" s="1"/>
  <c r="F106" i="3"/>
  <c r="F104" i="3"/>
  <c r="G107" i="3"/>
  <c r="G105" i="3"/>
  <c r="G101" i="3"/>
  <c r="F105" i="3"/>
  <c r="D112" i="3" s="1"/>
  <c r="D116" i="3" s="1"/>
  <c r="G104" i="3"/>
  <c r="G103" i="3"/>
  <c r="H86" i="3"/>
  <c r="H82" i="3"/>
  <c r="H85" i="3"/>
  <c r="H83" i="3"/>
  <c r="H84" i="3"/>
  <c r="H88" i="3"/>
  <c r="H87" i="3"/>
  <c r="D129" i="3" l="1"/>
  <c r="D108" i="3"/>
  <c r="D114" i="3"/>
  <c r="D110" i="3"/>
  <c r="D126" i="3"/>
  <c r="D111" i="3"/>
  <c r="D113" i="3"/>
  <c r="D115" i="3"/>
  <c r="B19" i="26" s="1"/>
  <c r="O17" i="15"/>
  <c r="O13" i="15"/>
  <c r="O8" i="15"/>
  <c r="O7" i="15"/>
  <c r="O6" i="15"/>
  <c r="O5" i="15"/>
  <c r="O4" i="15"/>
  <c r="O3" i="15"/>
  <c r="O27" i="13"/>
  <c r="O26" i="13"/>
  <c r="O25" i="13"/>
  <c r="O24" i="13"/>
  <c r="O23" i="13"/>
  <c r="O22" i="13"/>
  <c r="O21" i="13"/>
  <c r="O27" i="26"/>
  <c r="O26" i="26"/>
  <c r="O25" i="26"/>
  <c r="O24" i="26"/>
  <c r="O23" i="26"/>
  <c r="B20" i="22"/>
  <c r="J20" i="22" s="1"/>
  <c r="E20" i="22" l="1"/>
  <c r="C20" i="22"/>
  <c r="F20" i="22"/>
  <c r="D20" i="22"/>
  <c r="G20" i="22"/>
  <c r="H20" i="22"/>
  <c r="I20" i="22"/>
  <c r="K20" i="22" l="1"/>
  <c r="P108" i="16"/>
  <c r="Q108" i="16" s="1"/>
  <c r="P107" i="16"/>
  <c r="Q107" i="16" s="1"/>
  <c r="J7" i="6"/>
  <c r="J8" i="6"/>
  <c r="P106" i="16" l="1"/>
  <c r="Q106" i="16" s="1"/>
  <c r="P105" i="16"/>
  <c r="Q105" i="16" s="1"/>
  <c r="C15" i="7" l="1"/>
  <c r="P5" i="4" l="1"/>
  <c r="P4" i="4"/>
  <c r="P3" i="4"/>
  <c r="L14" i="18"/>
  <c r="L13" i="18"/>
  <c r="L12" i="18"/>
  <c r="L11" i="18"/>
  <c r="L10" i="18"/>
  <c r="L9" i="18"/>
  <c r="L8" i="18"/>
  <c r="L7" i="18"/>
  <c r="L6" i="18"/>
  <c r="L5" i="18"/>
  <c r="L4" i="18"/>
  <c r="L3" i="18"/>
  <c r="C20" i="7"/>
  <c r="J79" i="2"/>
  <c r="J78" i="2"/>
  <c r="J77" i="2"/>
  <c r="J76" i="2"/>
  <c r="L74" i="2"/>
  <c r="L73" i="2"/>
  <c r="L72" i="2"/>
  <c r="L71" i="2"/>
  <c r="DP2" i="9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N8" i="17"/>
  <c r="N7" i="17"/>
  <c r="N6" i="17"/>
  <c r="N5" i="17"/>
  <c r="N4" i="17"/>
  <c r="N3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W11" i="17"/>
  <c r="W10" i="17"/>
  <c r="W9" i="17"/>
  <c r="W8" i="17"/>
  <c r="W7" i="17"/>
  <c r="W6" i="17"/>
  <c r="W5" i="17"/>
  <c r="W4" i="17"/>
  <c r="V25" i="17"/>
  <c r="V24" i="17"/>
  <c r="V23" i="17"/>
  <c r="V22" i="17"/>
  <c r="V21" i="17"/>
  <c r="V20" i="17"/>
  <c r="V19" i="17"/>
  <c r="V18" i="17"/>
  <c r="V17" i="17"/>
  <c r="V16" i="17"/>
  <c r="V15" i="17"/>
  <c r="V14" i="17"/>
  <c r="V13" i="17"/>
  <c r="V12" i="17"/>
  <c r="V11" i="17"/>
  <c r="V10" i="17"/>
  <c r="V9" i="17"/>
  <c r="V8" i="17"/>
  <c r="V7" i="17"/>
  <c r="V6" i="17"/>
  <c r="V5" i="17"/>
  <c r="V4" i="17"/>
  <c r="O25" i="17"/>
  <c r="O24" i="17"/>
  <c r="O23" i="17"/>
  <c r="O22" i="17"/>
  <c r="O21" i="17"/>
  <c r="O20" i="17"/>
  <c r="O19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6" i="17"/>
  <c r="O5" i="17"/>
  <c r="O4" i="17"/>
  <c r="J73" i="2"/>
  <c r="M23" i="26"/>
  <c r="L21" i="13" s="1"/>
  <c r="B14" i="19" s="1"/>
  <c r="L28" i="13"/>
  <c r="L24" i="13"/>
  <c r="L22" i="13"/>
  <c r="M24" i="26" s="1"/>
  <c r="P104" i="16"/>
  <c r="Q104" i="16"/>
  <c r="P103" i="16"/>
  <c r="Q103" i="16"/>
  <c r="P102" i="16"/>
  <c r="Q102" i="16"/>
  <c r="P101" i="16"/>
  <c r="Q101" i="16"/>
  <c r="P100" i="16"/>
  <c r="Q100" i="16"/>
  <c r="P99" i="16"/>
  <c r="Q99" i="16"/>
  <c r="P98" i="16"/>
  <c r="Q98" i="16"/>
  <c r="P97" i="16"/>
  <c r="Q97" i="16"/>
  <c r="P96" i="16"/>
  <c r="Q96" i="16"/>
  <c r="DE3" i="9"/>
  <c r="DF3" i="9"/>
  <c r="DG3" i="9"/>
  <c r="DH3" i="9"/>
  <c r="DI3" i="9"/>
  <c r="DJ3" i="9"/>
  <c r="DK3" i="9"/>
  <c r="DL3" i="9"/>
  <c r="DM4" i="9"/>
  <c r="DM5" i="9"/>
  <c r="DM6" i="9"/>
  <c r="DM7" i="9"/>
  <c r="DE7" i="9"/>
  <c r="DG6" i="9"/>
  <c r="DF6" i="9"/>
  <c r="DH5" i="9"/>
  <c r="DE5" i="9"/>
  <c r="DF5" i="9"/>
  <c r="DG5" i="9"/>
  <c r="DI4" i="9"/>
  <c r="DF4" i="9"/>
  <c r="DG4" i="9"/>
  <c r="DH4" i="9"/>
  <c r="DJ7" i="9"/>
  <c r="DK6" i="9"/>
  <c r="DL5" i="9"/>
  <c r="DE4" i="9"/>
  <c r="DI7" i="9"/>
  <c r="DJ6" i="9"/>
  <c r="DK5" i="9"/>
  <c r="DL4" i="9"/>
  <c r="DH7" i="9"/>
  <c r="DI6" i="9"/>
  <c r="DJ5" i="9"/>
  <c r="DK4" i="9"/>
  <c r="DL7" i="9"/>
  <c r="DK7" i="9"/>
  <c r="DE6" i="9"/>
  <c r="DL6" i="9"/>
  <c r="DG7" i="9"/>
  <c r="DH6" i="9"/>
  <c r="DI5" i="9"/>
  <c r="DJ4" i="9"/>
  <c r="DM8" i="9"/>
  <c r="DF7" i="9"/>
  <c r="DK8" i="9"/>
  <c r="DE8" i="9"/>
  <c r="DF8" i="9"/>
  <c r="DM9" i="9"/>
  <c r="DI8" i="9"/>
  <c r="DJ8" i="9"/>
  <c r="DL8" i="9"/>
  <c r="DG8" i="9"/>
  <c r="DH8" i="9"/>
  <c r="DK9" i="9"/>
  <c r="DL9" i="9"/>
  <c r="DE9" i="9"/>
  <c r="DJ9" i="9"/>
  <c r="DF9" i="9"/>
  <c r="DM10" i="9"/>
  <c r="DG9" i="9"/>
  <c r="DH9" i="9"/>
  <c r="DI9" i="9"/>
  <c r="L67" i="2"/>
  <c r="L64" i="2"/>
  <c r="L63" i="2"/>
  <c r="L62" i="2"/>
  <c r="L61" i="2"/>
  <c r="L58" i="2"/>
  <c r="L56" i="2"/>
  <c r="L54" i="2"/>
  <c r="L53" i="2"/>
  <c r="L52" i="2"/>
  <c r="L50" i="2"/>
  <c r="L49" i="2"/>
  <c r="L48" i="2"/>
  <c r="L47" i="2"/>
  <c r="L45" i="2"/>
  <c r="L44" i="2"/>
  <c r="L43" i="2"/>
  <c r="L42" i="2"/>
  <c r="L40" i="2"/>
  <c r="L39" i="2"/>
  <c r="L38" i="2"/>
  <c r="L37" i="2"/>
  <c r="L35" i="2"/>
  <c r="L32" i="2"/>
  <c r="J69" i="2"/>
  <c r="J68" i="2"/>
  <c r="J66" i="2"/>
  <c r="J59" i="2"/>
  <c r="J58" i="2"/>
  <c r="J57" i="2"/>
  <c r="J34" i="2"/>
  <c r="J33" i="2"/>
  <c r="F82" i="6"/>
  <c r="K82" i="6" s="1"/>
  <c r="B82" i="6"/>
  <c r="F81" i="6"/>
  <c r="K81" i="6" s="1"/>
  <c r="B81" i="6"/>
  <c r="F80" i="6"/>
  <c r="G80" i="6" s="1"/>
  <c r="H80" i="6" s="1"/>
  <c r="B80" i="6"/>
  <c r="F79" i="6"/>
  <c r="K79" i="6" s="1"/>
  <c r="B79" i="6"/>
  <c r="F78" i="6"/>
  <c r="K78" i="6" s="1"/>
  <c r="B78" i="6"/>
  <c r="F77" i="6"/>
  <c r="G77" i="6" s="1"/>
  <c r="H77" i="6" s="1"/>
  <c r="B77" i="6"/>
  <c r="F76" i="6"/>
  <c r="K76" i="6" s="1"/>
  <c r="B76" i="6"/>
  <c r="F75" i="6"/>
  <c r="K75" i="6" s="1"/>
  <c r="B75" i="6"/>
  <c r="F74" i="6"/>
  <c r="G74" i="6" s="1"/>
  <c r="H74" i="6" s="1"/>
  <c r="B74" i="6"/>
  <c r="F73" i="6"/>
  <c r="K73" i="6" s="1"/>
  <c r="B73" i="6"/>
  <c r="F72" i="6"/>
  <c r="K72" i="6" s="1"/>
  <c r="B72" i="6"/>
  <c r="F71" i="6"/>
  <c r="B71" i="6"/>
  <c r="F70" i="6"/>
  <c r="B70" i="6"/>
  <c r="F69" i="6"/>
  <c r="K69" i="6" s="1"/>
  <c r="B69" i="6"/>
  <c r="F68" i="6"/>
  <c r="K68" i="6" s="1"/>
  <c r="B68" i="6"/>
  <c r="F67" i="6"/>
  <c r="K67" i="6" s="1"/>
  <c r="G67" i="6" s="1"/>
  <c r="H67" i="6" s="1"/>
  <c r="B67" i="6"/>
  <c r="F66" i="6"/>
  <c r="K66" i="6" s="1"/>
  <c r="G66" i="6" s="1"/>
  <c r="H66" i="6" s="1"/>
  <c r="I66" i="6" s="1"/>
  <c r="B66" i="6"/>
  <c r="F65" i="6"/>
  <c r="K65" i="6" s="1"/>
  <c r="B65" i="6"/>
  <c r="F64" i="6"/>
  <c r="K64" i="6" s="1"/>
  <c r="G64" i="6" s="1"/>
  <c r="H64" i="6" s="1"/>
  <c r="B64" i="6"/>
  <c r="F63" i="6"/>
  <c r="K63" i="6" s="1"/>
  <c r="B63" i="6"/>
  <c r="F62" i="6"/>
  <c r="K62" i="6" s="1"/>
  <c r="B62" i="6"/>
  <c r="F61" i="6"/>
  <c r="K61" i="6" s="1"/>
  <c r="B61" i="6"/>
  <c r="F60" i="6"/>
  <c r="K60" i="6" s="1"/>
  <c r="B60" i="6"/>
  <c r="F59" i="6"/>
  <c r="K59" i="6" s="1"/>
  <c r="G59" i="6" s="1"/>
  <c r="H59" i="6" s="1"/>
  <c r="B59" i="6"/>
  <c r="F56" i="6"/>
  <c r="F55" i="6"/>
  <c r="K55" i="6" s="1"/>
  <c r="F54" i="6"/>
  <c r="K54" i="6" s="1"/>
  <c r="G54" i="6" s="1"/>
  <c r="H54" i="6" s="1"/>
  <c r="B56" i="6"/>
  <c r="B55" i="6"/>
  <c r="B54" i="6"/>
  <c r="D49" i="4"/>
  <c r="E49" i="4" s="1"/>
  <c r="F49" i="4" s="1"/>
  <c r="G49" i="4" s="1"/>
  <c r="C49" i="4"/>
  <c r="D48" i="4"/>
  <c r="E48" i="4" s="1"/>
  <c r="F48" i="4" s="1"/>
  <c r="G48" i="4" s="1"/>
  <c r="C48" i="4"/>
  <c r="D47" i="4"/>
  <c r="E47" i="4" s="1"/>
  <c r="F47" i="4" s="1"/>
  <c r="G47" i="4" s="1"/>
  <c r="C47" i="4"/>
  <c r="D46" i="4"/>
  <c r="E46" i="4" s="1"/>
  <c r="F46" i="4" s="1"/>
  <c r="G46" i="4" s="1"/>
  <c r="C46" i="4"/>
  <c r="D45" i="4"/>
  <c r="E45" i="4" s="1"/>
  <c r="F45" i="4" s="1"/>
  <c r="C45" i="4"/>
  <c r="D10" i="4"/>
  <c r="D9" i="4"/>
  <c r="D8" i="4"/>
  <c r="D7" i="4"/>
  <c r="D6" i="4"/>
  <c r="D5" i="4"/>
  <c r="D4" i="4"/>
  <c r="D3" i="4"/>
  <c r="DK10" i="9"/>
  <c r="DL10" i="9"/>
  <c r="DG10" i="9"/>
  <c r="DH10" i="9"/>
  <c r="DJ10" i="9"/>
  <c r="DE10" i="9"/>
  <c r="DF10" i="9"/>
  <c r="DM11" i="9"/>
  <c r="DI10" i="9"/>
  <c r="DJ11" i="9"/>
  <c r="DK11" i="9"/>
  <c r="DH11" i="9"/>
  <c r="DL11" i="9"/>
  <c r="DE11" i="9"/>
  <c r="DF11" i="9"/>
  <c r="DM12" i="9"/>
  <c r="DG11" i="9"/>
  <c r="DI11" i="9"/>
  <c r="DH12" i="9"/>
  <c r="DI12" i="9"/>
  <c r="DJ12" i="9"/>
  <c r="DE12" i="9"/>
  <c r="DF12" i="9"/>
  <c r="DG12" i="9"/>
  <c r="DK12" i="9"/>
  <c r="DL12" i="9"/>
  <c r="B33" i="26"/>
  <c r="P21" i="16"/>
  <c r="Q21" i="16"/>
  <c r="P20" i="16"/>
  <c r="Q20" i="16"/>
  <c r="P19" i="16"/>
  <c r="Q19" i="16"/>
  <c r="P18" i="16"/>
  <c r="Q18" i="16"/>
  <c r="P17" i="16"/>
  <c r="Q17" i="16"/>
  <c r="P16" i="16"/>
  <c r="Q16" i="16"/>
  <c r="P15" i="16"/>
  <c r="Q15" i="16"/>
  <c r="B13" i="15"/>
  <c r="B2" i="13"/>
  <c r="B3" i="11"/>
  <c r="C3" i="11" s="1"/>
  <c r="P95" i="16"/>
  <c r="Q95" i="16"/>
  <c r="P94" i="16"/>
  <c r="Q94" i="16"/>
  <c r="P93" i="16"/>
  <c r="Q93" i="16"/>
  <c r="P92" i="16"/>
  <c r="Q92" i="16"/>
  <c r="P91" i="16"/>
  <c r="Q91" i="16"/>
  <c r="P90" i="16"/>
  <c r="Q90" i="16"/>
  <c r="P89" i="16"/>
  <c r="Q89" i="16"/>
  <c r="P88" i="16"/>
  <c r="Q88" i="16"/>
  <c r="P87" i="16"/>
  <c r="Q87" i="16"/>
  <c r="P86" i="16"/>
  <c r="Q86" i="16"/>
  <c r="P85" i="16"/>
  <c r="Q85" i="16"/>
  <c r="P84" i="16"/>
  <c r="Q84" i="16"/>
  <c r="P83" i="16"/>
  <c r="Q83" i="16"/>
  <c r="P82" i="16"/>
  <c r="Q82" i="16"/>
  <c r="P81" i="16"/>
  <c r="Q81" i="16"/>
  <c r="P80" i="16"/>
  <c r="Q80" i="16"/>
  <c r="P79" i="16"/>
  <c r="Q79" i="16"/>
  <c r="P78" i="16"/>
  <c r="Q78" i="16"/>
  <c r="P77" i="16"/>
  <c r="Q77" i="16"/>
  <c r="P76" i="16"/>
  <c r="Q76" i="16"/>
  <c r="P75" i="16"/>
  <c r="Q75" i="16"/>
  <c r="P74" i="16"/>
  <c r="Q74" i="16"/>
  <c r="P73" i="16"/>
  <c r="Q73" i="16"/>
  <c r="P72" i="16"/>
  <c r="Q72" i="16"/>
  <c r="P71" i="16"/>
  <c r="Q71" i="16"/>
  <c r="P70" i="16"/>
  <c r="Q70" i="16"/>
  <c r="P69" i="16"/>
  <c r="Q69" i="16"/>
  <c r="M3" i="17"/>
  <c r="E3" i="17"/>
  <c r="D3" i="17"/>
  <c r="C3" i="17"/>
  <c r="P68" i="16"/>
  <c r="Q68" i="16"/>
  <c r="P67" i="16"/>
  <c r="Q67" i="16"/>
  <c r="P66" i="16"/>
  <c r="Q66" i="16"/>
  <c r="P65" i="16"/>
  <c r="Q65" i="16"/>
  <c r="P64" i="16"/>
  <c r="Q64" i="16"/>
  <c r="P63" i="16"/>
  <c r="Q63" i="16"/>
  <c r="P62" i="16"/>
  <c r="Q62" i="16"/>
  <c r="P61" i="16"/>
  <c r="Q61" i="16"/>
  <c r="P60" i="16"/>
  <c r="Q60" i="16"/>
  <c r="P59" i="16"/>
  <c r="Q59" i="16"/>
  <c r="P58" i="16"/>
  <c r="Q58" i="16"/>
  <c r="P57" i="16"/>
  <c r="Q57" i="16"/>
  <c r="P56" i="16"/>
  <c r="Q56" i="16"/>
  <c r="P55" i="16"/>
  <c r="Q55" i="16"/>
  <c r="P54" i="16"/>
  <c r="Q54" i="16"/>
  <c r="P53" i="16"/>
  <c r="Q53" i="16"/>
  <c r="P52" i="16"/>
  <c r="Q52" i="16"/>
  <c r="P51" i="16"/>
  <c r="Q51" i="16"/>
  <c r="P50" i="16"/>
  <c r="Q50" i="16"/>
  <c r="P49" i="16"/>
  <c r="Q49" i="16"/>
  <c r="P48" i="16"/>
  <c r="Q48" i="16"/>
  <c r="W3" i="17"/>
  <c r="V3" i="17"/>
  <c r="O3" i="17"/>
  <c r="B6" i="22"/>
  <c r="I6" i="22" s="1"/>
  <c r="B12" i="21"/>
  <c r="H12" i="21" s="1"/>
  <c r="B11" i="21"/>
  <c r="I11" i="21" s="1"/>
  <c r="B10" i="21"/>
  <c r="B9" i="21"/>
  <c r="B8" i="21"/>
  <c r="B7" i="21"/>
  <c r="B6" i="21"/>
  <c r="B5" i="21"/>
  <c r="B3" i="22"/>
  <c r="G3" i="22" s="1"/>
  <c r="F13" i="15"/>
  <c r="P47" i="16"/>
  <c r="Q47" i="16"/>
  <c r="P46" i="16"/>
  <c r="Q46" i="16"/>
  <c r="P45" i="16"/>
  <c r="Q45" i="16"/>
  <c r="P44" i="16"/>
  <c r="Q44" i="16"/>
  <c r="P43" i="16"/>
  <c r="Q43" i="16"/>
  <c r="P42" i="16"/>
  <c r="Q42" i="16"/>
  <c r="P41" i="16"/>
  <c r="Q41" i="16"/>
  <c r="P40" i="16"/>
  <c r="Q40" i="16"/>
  <c r="P39" i="16"/>
  <c r="Q39" i="16"/>
  <c r="P38" i="16"/>
  <c r="Q38" i="16"/>
  <c r="P37" i="16"/>
  <c r="Q37" i="16"/>
  <c r="P36" i="16"/>
  <c r="Q36" i="16"/>
  <c r="P35" i="16"/>
  <c r="Q35" i="16"/>
  <c r="P34" i="16"/>
  <c r="Q34" i="16"/>
  <c r="P33" i="16"/>
  <c r="Q33" i="16"/>
  <c r="P32" i="16"/>
  <c r="Q32" i="16"/>
  <c r="P31" i="16"/>
  <c r="Q31" i="16"/>
  <c r="P30" i="16"/>
  <c r="Q30" i="16"/>
  <c r="P29" i="16"/>
  <c r="Q29" i="16"/>
  <c r="P28" i="16"/>
  <c r="Q28" i="16"/>
  <c r="P27" i="16"/>
  <c r="Q27" i="16"/>
  <c r="P26" i="16"/>
  <c r="Q26" i="16"/>
  <c r="P25" i="16"/>
  <c r="Q25" i="16"/>
  <c r="P24" i="16"/>
  <c r="Q24" i="16"/>
  <c r="P23" i="16"/>
  <c r="Q23" i="16"/>
  <c r="P22" i="16"/>
  <c r="Q22" i="16"/>
  <c r="P14" i="16"/>
  <c r="Q14" i="16"/>
  <c r="P13" i="16"/>
  <c r="Q13" i="16"/>
  <c r="P12" i="16"/>
  <c r="Q12" i="16"/>
  <c r="P11" i="16"/>
  <c r="Q11" i="16"/>
  <c r="P10" i="16"/>
  <c r="Q10" i="16"/>
  <c r="P9" i="16"/>
  <c r="Q9" i="16"/>
  <c r="P8" i="16"/>
  <c r="Q8" i="16"/>
  <c r="P7" i="16"/>
  <c r="Q7" i="16"/>
  <c r="P6" i="16"/>
  <c r="Q6" i="16"/>
  <c r="P5" i="16"/>
  <c r="Q5" i="16"/>
  <c r="P4" i="16"/>
  <c r="Q4" i="16"/>
  <c r="P3" i="16"/>
  <c r="Q3" i="16"/>
  <c r="B3" i="15"/>
  <c r="C14" i="7"/>
  <c r="B7" i="19" s="1"/>
  <c r="C12" i="7"/>
  <c r="C11" i="7"/>
  <c r="C10" i="7"/>
  <c r="B4" i="19" s="1"/>
  <c r="C5" i="7"/>
  <c r="C4" i="7"/>
  <c r="C2" i="7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6" i="6"/>
  <c r="J5" i="6"/>
  <c r="J4" i="6"/>
  <c r="J3" i="6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D32" i="4"/>
  <c r="J2" i="16"/>
  <c r="I2" i="16"/>
  <c r="H2" i="16"/>
  <c r="G2" i="16"/>
  <c r="P2" i="16"/>
  <c r="Q2" i="16"/>
  <c r="F2" i="16"/>
  <c r="E2" i="16"/>
  <c r="D2" i="16"/>
  <c r="C2" i="16"/>
  <c r="CB56" i="9"/>
  <c r="CA56" i="9"/>
  <c r="CB55" i="9"/>
  <c r="CA55" i="9"/>
  <c r="CB54" i="9"/>
  <c r="CA54" i="9"/>
  <c r="CB53" i="9"/>
  <c r="CA53" i="9"/>
  <c r="CB52" i="9"/>
  <c r="CA52" i="9"/>
  <c r="CB51" i="9"/>
  <c r="CA51" i="9"/>
  <c r="CB50" i="9"/>
  <c r="CA50" i="9"/>
  <c r="CB49" i="9"/>
  <c r="CA49" i="9"/>
  <c r="CB48" i="9"/>
  <c r="CA48" i="9"/>
  <c r="CB47" i="9"/>
  <c r="CA47" i="9"/>
  <c r="CB46" i="9"/>
  <c r="CA46" i="9"/>
  <c r="CB45" i="9"/>
  <c r="CA45" i="9"/>
  <c r="CB44" i="9"/>
  <c r="CA44" i="9"/>
  <c r="CB43" i="9"/>
  <c r="CA43" i="9"/>
  <c r="CB42" i="9"/>
  <c r="CA42" i="9"/>
  <c r="CB41" i="9"/>
  <c r="CA41" i="9"/>
  <c r="CB40" i="9"/>
  <c r="CA40" i="9"/>
  <c r="CB39" i="9"/>
  <c r="CA39" i="9"/>
  <c r="CB38" i="9"/>
  <c r="CA38" i="9"/>
  <c r="CB37" i="9"/>
  <c r="CA37" i="9"/>
  <c r="CB36" i="9"/>
  <c r="CA36" i="9"/>
  <c r="CB35" i="9"/>
  <c r="CA35" i="9"/>
  <c r="CB34" i="9"/>
  <c r="CA34" i="9"/>
  <c r="CB33" i="9"/>
  <c r="CA33" i="9"/>
  <c r="CB32" i="9"/>
  <c r="CA32" i="9"/>
  <c r="CB31" i="9"/>
  <c r="CA31" i="9"/>
  <c r="CB30" i="9"/>
  <c r="CA30" i="9"/>
  <c r="CB29" i="9"/>
  <c r="CA29" i="9"/>
  <c r="CB28" i="9"/>
  <c r="CA28" i="9"/>
  <c r="CB27" i="9"/>
  <c r="CA27" i="9"/>
  <c r="CB26" i="9"/>
  <c r="CA26" i="9"/>
  <c r="CB25" i="9"/>
  <c r="CA25" i="9"/>
  <c r="CB24" i="9"/>
  <c r="CA24" i="9"/>
  <c r="CB23" i="9"/>
  <c r="CA23" i="9"/>
  <c r="CB22" i="9"/>
  <c r="CA22" i="9"/>
  <c r="CB21" i="9"/>
  <c r="CA21" i="9"/>
  <c r="CB20" i="9"/>
  <c r="CA20" i="9"/>
  <c r="CB19" i="9"/>
  <c r="CA19" i="9"/>
  <c r="BV19" i="9"/>
  <c r="CB18" i="9"/>
  <c r="CA18" i="9"/>
  <c r="BV18" i="9"/>
  <c r="CB17" i="9"/>
  <c r="CA17" i="9"/>
  <c r="BV17" i="9"/>
  <c r="CB16" i="9"/>
  <c r="CA16" i="9"/>
  <c r="BV16" i="9"/>
  <c r="CB15" i="9"/>
  <c r="CA15" i="9"/>
  <c r="BV15" i="9"/>
  <c r="CB14" i="9"/>
  <c r="CA14" i="9"/>
  <c r="BV14" i="9"/>
  <c r="CB13" i="9"/>
  <c r="CA13" i="9"/>
  <c r="BV13" i="9"/>
  <c r="CO12" i="9"/>
  <c r="CJ12" i="9"/>
  <c r="CB12" i="9"/>
  <c r="CA12" i="9"/>
  <c r="BV12" i="9"/>
  <c r="CO11" i="9"/>
  <c r="CJ11" i="9"/>
  <c r="CB11" i="9"/>
  <c r="CA11" i="9"/>
  <c r="BV11" i="9"/>
  <c r="CO10" i="9"/>
  <c r="CJ10" i="9"/>
  <c r="CB10" i="9"/>
  <c r="CA10" i="9"/>
  <c r="BV10" i="9"/>
  <c r="CO9" i="9"/>
  <c r="CJ9" i="9"/>
  <c r="CB9" i="9"/>
  <c r="CA9" i="9"/>
  <c r="BV9" i="9"/>
  <c r="CO8" i="9"/>
  <c r="CJ8" i="9"/>
  <c r="CB8" i="9"/>
  <c r="CA8" i="9"/>
  <c r="BV8" i="9"/>
  <c r="CO7" i="9"/>
  <c r="CJ7" i="9"/>
  <c r="CB7" i="9"/>
  <c r="CA7" i="9"/>
  <c r="BV7" i="9"/>
  <c r="AV7" i="9"/>
  <c r="CO6" i="9"/>
  <c r="CJ6" i="9"/>
  <c r="CB6" i="9"/>
  <c r="CA6" i="9"/>
  <c r="BV6" i="9"/>
  <c r="AV6" i="9"/>
  <c r="CO5" i="9"/>
  <c r="CJ5" i="9"/>
  <c r="CB5" i="9"/>
  <c r="CA5" i="9"/>
  <c r="BV5" i="9"/>
  <c r="AV5" i="9"/>
  <c r="CO4" i="9"/>
  <c r="CJ4" i="9"/>
  <c r="CB4" i="9"/>
  <c r="CA4" i="9"/>
  <c r="BV4" i="9"/>
  <c r="AV4" i="9"/>
  <c r="CO3" i="9"/>
  <c r="CJ3" i="9"/>
  <c r="CB3" i="9"/>
  <c r="CA3" i="9"/>
  <c r="BV3" i="9"/>
  <c r="AV3" i="9"/>
  <c r="CO2" i="9"/>
  <c r="CJ2" i="9"/>
  <c r="CB2" i="9"/>
  <c r="CA2" i="9"/>
  <c r="BV2" i="9"/>
  <c r="AV2" i="9"/>
  <c r="D127" i="24"/>
  <c r="B127" i="24"/>
  <c r="D126" i="24"/>
  <c r="B126" i="24"/>
  <c r="D125" i="24"/>
  <c r="B125" i="24"/>
  <c r="D124" i="24"/>
  <c r="B124" i="24"/>
  <c r="D123" i="24"/>
  <c r="B123" i="24"/>
  <c r="D122" i="24"/>
  <c r="B122" i="24"/>
  <c r="D121" i="24"/>
  <c r="B121" i="24"/>
  <c r="D120" i="24"/>
  <c r="B120" i="24"/>
  <c r="D119" i="24"/>
  <c r="B119" i="24"/>
  <c r="D118" i="24"/>
  <c r="B118" i="24"/>
  <c r="D117" i="24"/>
  <c r="B117" i="24"/>
  <c r="D116" i="24"/>
  <c r="B116" i="24"/>
  <c r="D115" i="24"/>
  <c r="B115" i="24"/>
  <c r="D114" i="24"/>
  <c r="B114" i="24"/>
  <c r="D113" i="24"/>
  <c r="B113" i="24"/>
  <c r="D112" i="24"/>
  <c r="B112" i="24"/>
  <c r="D111" i="24"/>
  <c r="B111" i="24"/>
  <c r="D110" i="24"/>
  <c r="B110" i="24"/>
  <c r="D109" i="24"/>
  <c r="B109" i="24"/>
  <c r="D108" i="24"/>
  <c r="B108" i="24"/>
  <c r="D107" i="24"/>
  <c r="B107" i="24"/>
  <c r="D106" i="24"/>
  <c r="B106" i="24"/>
  <c r="D105" i="24"/>
  <c r="B105" i="24"/>
  <c r="D104" i="24"/>
  <c r="B104" i="24"/>
  <c r="D103" i="24"/>
  <c r="B103" i="24"/>
  <c r="D102" i="24"/>
  <c r="B102" i="24"/>
  <c r="D101" i="24"/>
  <c r="B101" i="24"/>
  <c r="D100" i="24"/>
  <c r="B100" i="24"/>
  <c r="D99" i="24"/>
  <c r="B99" i="24"/>
  <c r="D98" i="24"/>
  <c r="B98" i="24"/>
  <c r="D97" i="24"/>
  <c r="B97" i="24"/>
  <c r="D96" i="24"/>
  <c r="B96" i="24"/>
  <c r="D95" i="24"/>
  <c r="B95" i="24"/>
  <c r="D94" i="24"/>
  <c r="B94" i="24"/>
  <c r="D93" i="24"/>
  <c r="B93" i="24"/>
  <c r="D92" i="24"/>
  <c r="B92" i="24"/>
  <c r="D91" i="24"/>
  <c r="B91" i="24"/>
  <c r="D90" i="24"/>
  <c r="B90" i="24"/>
  <c r="D89" i="24"/>
  <c r="B89" i="24"/>
  <c r="D88" i="24"/>
  <c r="B88" i="24"/>
  <c r="D87" i="24"/>
  <c r="B87" i="24"/>
  <c r="D86" i="24"/>
  <c r="B86" i="24"/>
  <c r="D85" i="24"/>
  <c r="B85" i="24"/>
  <c r="D84" i="24"/>
  <c r="B84" i="24"/>
  <c r="B83" i="24"/>
  <c r="B82" i="24"/>
  <c r="B81" i="24"/>
  <c r="B80" i="24"/>
  <c r="B79" i="24"/>
  <c r="B78" i="24"/>
  <c r="B77" i="24"/>
  <c r="B76" i="24"/>
  <c r="B75" i="24"/>
  <c r="B74" i="24"/>
  <c r="B73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B57" i="24"/>
  <c r="B56" i="24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7" i="24"/>
  <c r="B16" i="24"/>
  <c r="B15" i="24"/>
  <c r="B14" i="24"/>
  <c r="B13" i="24"/>
  <c r="B12" i="24"/>
  <c r="B11" i="24"/>
  <c r="B10" i="24"/>
  <c r="B4" i="21"/>
  <c r="B3" i="21"/>
  <c r="D31" i="4"/>
  <c r="D13" i="4"/>
  <c r="D19" i="4" s="1"/>
  <c r="D5" i="3"/>
  <c r="D4" i="3"/>
  <c r="D3" i="3"/>
  <c r="E12" i="2"/>
  <c r="E11" i="2"/>
  <c r="E10" i="2"/>
  <c r="F7" i="2"/>
  <c r="E7" i="2"/>
  <c r="F6" i="2"/>
  <c r="E6" i="2"/>
  <c r="F5" i="2"/>
  <c r="E5" i="2"/>
  <c r="F4" i="2"/>
  <c r="E4" i="2"/>
  <c r="C19" i="7"/>
  <c r="E18" i="7"/>
  <c r="C18" i="7"/>
  <c r="E17" i="7"/>
  <c r="C17" i="7"/>
  <c r="E16" i="7"/>
  <c r="C16" i="7"/>
  <c r="G13" i="7"/>
  <c r="E13" i="7"/>
  <c r="C9" i="7"/>
  <c r="E31" i="4" s="1"/>
  <c r="E8" i="7"/>
  <c r="C8" i="7" s="1"/>
  <c r="E7" i="7"/>
  <c r="C7" i="7" s="1"/>
  <c r="E6" i="7"/>
  <c r="C3" i="7"/>
  <c r="B19" i="22"/>
  <c r="B18" i="22"/>
  <c r="C18" i="22" s="1"/>
  <c r="B17" i="22"/>
  <c r="B16" i="22"/>
  <c r="B15" i="22"/>
  <c r="B14" i="22"/>
  <c r="G14" i="22" s="1"/>
  <c r="B13" i="22"/>
  <c r="B12" i="22"/>
  <c r="J12" i="22" s="1"/>
  <c r="B11" i="22"/>
  <c r="D11" i="22" s="1"/>
  <c r="B10" i="22"/>
  <c r="F10" i="22" s="1"/>
  <c r="B9" i="22"/>
  <c r="E9" i="22" s="1"/>
  <c r="B8" i="22"/>
  <c r="F8" i="22" s="1"/>
  <c r="B7" i="22"/>
  <c r="H7" i="22" s="1"/>
  <c r="B5" i="22"/>
  <c r="F5" i="22" s="1"/>
  <c r="B4" i="22"/>
  <c r="G4" i="22" s="1"/>
  <c r="F17" i="15"/>
  <c r="B17" i="15"/>
  <c r="F8" i="15"/>
  <c r="B8" i="15"/>
  <c r="C8" i="15" s="1"/>
  <c r="F7" i="15"/>
  <c r="B7" i="15"/>
  <c r="C7" i="15" s="1"/>
  <c r="F6" i="15"/>
  <c r="B6" i="15"/>
  <c r="C6" i="15" s="1"/>
  <c r="F5" i="15"/>
  <c r="B5" i="15"/>
  <c r="F4" i="15"/>
  <c r="B4" i="15"/>
  <c r="F3" i="15"/>
  <c r="B57" i="19"/>
  <c r="B52" i="19"/>
  <c r="B16" i="13"/>
  <c r="B50" i="19"/>
  <c r="B15" i="13"/>
  <c r="B45" i="19"/>
  <c r="B11" i="13"/>
  <c r="B23" i="19"/>
  <c r="B16" i="19"/>
  <c r="B21" i="13"/>
  <c r="B8" i="19"/>
  <c r="B6" i="19"/>
  <c r="B1" i="19"/>
  <c r="B22" i="26"/>
  <c r="B29" i="26"/>
  <c r="B28" i="13"/>
  <c r="N4" i="15" l="1"/>
  <c r="V4" i="15"/>
  <c r="P4" i="15"/>
  <c r="S8" i="15"/>
  <c r="AA8" i="15" s="1"/>
  <c r="V8" i="15"/>
  <c r="P8" i="15"/>
  <c r="BD5" i="15"/>
  <c r="V5" i="15"/>
  <c r="P5" i="15"/>
  <c r="V6" i="15"/>
  <c r="P6" i="15"/>
  <c r="P3" i="15"/>
  <c r="S7" i="15"/>
  <c r="AA7" i="15" s="1"/>
  <c r="V7" i="15"/>
  <c r="P7" i="15"/>
  <c r="M26" i="26"/>
  <c r="L29" i="13"/>
  <c r="L23" i="13" s="1"/>
  <c r="M30" i="26"/>
  <c r="B25" i="19"/>
  <c r="B30" i="13" s="1"/>
  <c r="B24" i="19"/>
  <c r="B30" i="26" s="1"/>
  <c r="H13" i="15"/>
  <c r="P13" i="15"/>
  <c r="N17" i="15"/>
  <c r="P17" i="15"/>
  <c r="F9" i="22"/>
  <c r="T13" i="15"/>
  <c r="R8" i="15"/>
  <c r="Z8" i="15" s="1"/>
  <c r="H10" i="22"/>
  <c r="Y8" i="15"/>
  <c r="K8" i="15"/>
  <c r="T8" i="15"/>
  <c r="AB8" i="15" s="1"/>
  <c r="D18" i="22"/>
  <c r="BC8" i="15"/>
  <c r="Y4" i="15"/>
  <c r="AF8" i="15"/>
  <c r="F18" i="22"/>
  <c r="AH8" i="15"/>
  <c r="G18" i="22"/>
  <c r="D10" i="22"/>
  <c r="BA8" i="15"/>
  <c r="M8" i="15"/>
  <c r="AX8" i="15"/>
  <c r="K80" i="6"/>
  <c r="H16" i="22"/>
  <c r="J16" i="22"/>
  <c r="D17" i="22"/>
  <c r="J17" i="22"/>
  <c r="H12" i="22"/>
  <c r="E18" i="22"/>
  <c r="J18" i="22"/>
  <c r="E6" i="22"/>
  <c r="G76" i="6"/>
  <c r="H76" i="6" s="1"/>
  <c r="G72" i="6"/>
  <c r="H72" i="6" s="1"/>
  <c r="F15" i="22"/>
  <c r="J15" i="22"/>
  <c r="E19" i="22"/>
  <c r="J19" i="22"/>
  <c r="I13" i="22"/>
  <c r="J13" i="22"/>
  <c r="I9" i="22"/>
  <c r="D14" i="22"/>
  <c r="J14" i="22"/>
  <c r="K18" i="22"/>
  <c r="I10" i="22"/>
  <c r="H18" i="22"/>
  <c r="G15" i="22"/>
  <c r="AF7" i="15"/>
  <c r="AQ13" i="15"/>
  <c r="AK13" i="15"/>
  <c r="N42" i="2" s="1"/>
  <c r="BA6" i="15"/>
  <c r="E13" i="22"/>
  <c r="AV8" i="15"/>
  <c r="H8" i="15"/>
  <c r="G8" i="15"/>
  <c r="BE8" i="15" s="1"/>
  <c r="G7" i="22"/>
  <c r="I14" i="22"/>
  <c r="AZ8" i="15"/>
  <c r="M13" i="15"/>
  <c r="AT13" i="15"/>
  <c r="N45" i="2" s="1"/>
  <c r="I7" i="22"/>
  <c r="D15" i="22"/>
  <c r="AJ13" i="15"/>
  <c r="E7" i="22"/>
  <c r="AN13" i="15"/>
  <c r="Q8" i="15"/>
  <c r="J8" i="15"/>
  <c r="D7" i="22"/>
  <c r="E14" i="22"/>
  <c r="AW8" i="15"/>
  <c r="G13" i="15"/>
  <c r="AE13" i="15" s="1"/>
  <c r="G6" i="22"/>
  <c r="G10" i="22"/>
  <c r="E10" i="22"/>
  <c r="H66" i="2"/>
  <c r="D16" i="4"/>
  <c r="B28" i="19"/>
  <c r="H33" i="2"/>
  <c r="F4" i="21"/>
  <c r="E4" i="21"/>
  <c r="D4" i="21"/>
  <c r="C4" i="21"/>
  <c r="G4" i="21"/>
  <c r="F9" i="21"/>
  <c r="E9" i="21"/>
  <c r="D9" i="21"/>
  <c r="C9" i="21"/>
  <c r="G9" i="21"/>
  <c r="G82" i="6"/>
  <c r="H82" i="6" s="1"/>
  <c r="J82" i="6" s="1"/>
  <c r="S5" i="15"/>
  <c r="AA5" i="15" s="1"/>
  <c r="N5" i="15"/>
  <c r="G11" i="22"/>
  <c r="H19" i="22"/>
  <c r="G81" i="6"/>
  <c r="H81" i="6" s="1"/>
  <c r="J81" i="6" s="1"/>
  <c r="C8" i="21"/>
  <c r="G8" i="21"/>
  <c r="F8" i="21"/>
  <c r="D8" i="21"/>
  <c r="E8" i="21"/>
  <c r="G55" i="6"/>
  <c r="H55" i="6" s="1"/>
  <c r="I55" i="6" s="1"/>
  <c r="G19" i="22"/>
  <c r="H10" i="21"/>
  <c r="G10" i="21"/>
  <c r="F10" i="21"/>
  <c r="E10" i="21"/>
  <c r="D10" i="21"/>
  <c r="C10" i="21"/>
  <c r="K77" i="6"/>
  <c r="C14" i="22"/>
  <c r="K14" i="22" s="1"/>
  <c r="H11" i="21"/>
  <c r="D11" i="21"/>
  <c r="C11" i="21"/>
  <c r="F11" i="21"/>
  <c r="E11" i="21"/>
  <c r="G11" i="21"/>
  <c r="K19" i="22"/>
  <c r="C7" i="22"/>
  <c r="C11" i="22"/>
  <c r="K11" i="22" s="1"/>
  <c r="C5" i="22"/>
  <c r="K5" i="22" s="1"/>
  <c r="K13" i="15"/>
  <c r="E3" i="22"/>
  <c r="G12" i="21"/>
  <c r="F12" i="21"/>
  <c r="E12" i="21"/>
  <c r="D12" i="21"/>
  <c r="C12" i="21"/>
  <c r="G7" i="21"/>
  <c r="F7" i="21"/>
  <c r="E7" i="21"/>
  <c r="D7" i="21"/>
  <c r="C7" i="21"/>
  <c r="BA5" i="15"/>
  <c r="AH13" i="15"/>
  <c r="H3" i="22"/>
  <c r="G5" i="21"/>
  <c r="F5" i="21"/>
  <c r="E5" i="21"/>
  <c r="C5" i="21"/>
  <c r="I5" i="21" s="1"/>
  <c r="D5" i="21"/>
  <c r="I10" i="21"/>
  <c r="BB5" i="15"/>
  <c r="AP13" i="15"/>
  <c r="C3" i="22"/>
  <c r="E6" i="21"/>
  <c r="D6" i="21"/>
  <c r="C6" i="21"/>
  <c r="G6" i="21"/>
  <c r="F6" i="21"/>
  <c r="C3" i="21"/>
  <c r="F3" i="21"/>
  <c r="E3" i="21"/>
  <c r="G3" i="21"/>
  <c r="D3" i="21"/>
  <c r="H42" i="2"/>
  <c r="E20" i="4"/>
  <c r="D20" i="4" s="1"/>
  <c r="H32" i="2"/>
  <c r="H34" i="2"/>
  <c r="H67" i="2"/>
  <c r="H35" i="2"/>
  <c r="D5" i="22"/>
  <c r="D13" i="22"/>
  <c r="C16" i="22"/>
  <c r="H4" i="22"/>
  <c r="C10" i="22"/>
  <c r="K10" i="22" s="1"/>
  <c r="F14" i="22"/>
  <c r="D4" i="22"/>
  <c r="AX7" i="15"/>
  <c r="W7" i="15"/>
  <c r="BD7" i="15"/>
  <c r="AG7" i="15"/>
  <c r="I13" i="15"/>
  <c r="AM13" i="15"/>
  <c r="F4" i="22"/>
  <c r="I4" i="22"/>
  <c r="AY4" i="15"/>
  <c r="L13" i="15"/>
  <c r="AO13" i="15"/>
  <c r="AR13" i="15"/>
  <c r="H6" i="22"/>
  <c r="I12" i="21"/>
  <c r="G5" i="22"/>
  <c r="H13" i="22"/>
  <c r="F17" i="22"/>
  <c r="W8" i="15"/>
  <c r="BD8" i="15"/>
  <c r="AG8" i="15"/>
  <c r="K56" i="6"/>
  <c r="G56" i="6" s="1"/>
  <c r="H56" i="6" s="1"/>
  <c r="H5" i="22"/>
  <c r="F13" i="22"/>
  <c r="E17" i="22"/>
  <c r="Y6" i="15"/>
  <c r="AW6" i="15"/>
  <c r="S6" i="15"/>
  <c r="AA6" i="15" s="1"/>
  <c r="AV6" i="15"/>
  <c r="R6" i="15"/>
  <c r="Z6" i="15" s="1"/>
  <c r="T6" i="15"/>
  <c r="AB6" i="15" s="1"/>
  <c r="AX6" i="15"/>
  <c r="J6" i="15"/>
  <c r="M6" i="15"/>
  <c r="AY6" i="15"/>
  <c r="K6" i="15"/>
  <c r="X6" i="15"/>
  <c r="AZ6" i="15"/>
  <c r="L6" i="15"/>
  <c r="H6" i="15"/>
  <c r="I6" i="15"/>
  <c r="AF6" i="15" s="1"/>
  <c r="G6" i="15"/>
  <c r="Q6" i="15"/>
  <c r="AX3" i="15"/>
  <c r="AH3" i="15"/>
  <c r="R3" i="15"/>
  <c r="J3" i="15"/>
  <c r="T3" i="15"/>
  <c r="N3" i="15"/>
  <c r="G3" i="15"/>
  <c r="AV3" i="15"/>
  <c r="S3" i="15"/>
  <c r="K3" i="15"/>
  <c r="I3" i="15"/>
  <c r="Q3" i="15"/>
  <c r="L3" i="15"/>
  <c r="Y3" i="15"/>
  <c r="AW3" i="15"/>
  <c r="AH5" i="15"/>
  <c r="T5" i="15"/>
  <c r="BC5" i="15"/>
  <c r="AV5" i="15"/>
  <c r="AX5" i="15"/>
  <c r="G69" i="6"/>
  <c r="H69" i="6" s="1"/>
  <c r="H4" i="21"/>
  <c r="L4" i="15"/>
  <c r="X4" i="15"/>
  <c r="J5" i="15"/>
  <c r="Y5" i="15"/>
  <c r="C9" i="22"/>
  <c r="K9" i="22" s="1"/>
  <c r="C8" i="22"/>
  <c r="K8" i="22" s="1"/>
  <c r="I11" i="22"/>
  <c r="AW5" i="15"/>
  <c r="BC4" i="15"/>
  <c r="I17" i="22"/>
  <c r="D16" i="22"/>
  <c r="H9" i="21"/>
  <c r="D3" i="22"/>
  <c r="G78" i="6"/>
  <c r="H78" i="6" s="1"/>
  <c r="J78" i="6" s="1"/>
  <c r="K70" i="6"/>
  <c r="G70" i="6" s="1"/>
  <c r="H70" i="6" s="1"/>
  <c r="H4" i="15"/>
  <c r="K4" i="15"/>
  <c r="K5" i="15"/>
  <c r="G5" i="15"/>
  <c r="X7" i="15"/>
  <c r="C15" i="22"/>
  <c r="K15" i="22" s="1"/>
  <c r="H9" i="22"/>
  <c r="BA3" i="15"/>
  <c r="AY5" i="15"/>
  <c r="E5" i="22"/>
  <c r="G13" i="22"/>
  <c r="BB6" i="15"/>
  <c r="F19" i="22"/>
  <c r="C17" i="22"/>
  <c r="H15" i="22"/>
  <c r="H13" i="7"/>
  <c r="C13" i="7" s="1"/>
  <c r="E5" i="3"/>
  <c r="D13" i="3" s="1"/>
  <c r="I3" i="22"/>
  <c r="D6" i="22"/>
  <c r="G61" i="6"/>
  <c r="H61" i="6" s="1"/>
  <c r="I61" i="6" s="1"/>
  <c r="M4" i="15"/>
  <c r="E19" i="4"/>
  <c r="C129" i="24" s="1"/>
  <c r="D129" i="24" s="1"/>
  <c r="K16" i="22"/>
  <c r="X3" i="15"/>
  <c r="I4" i="15"/>
  <c r="T4" i="15"/>
  <c r="AB4" i="15" s="1"/>
  <c r="L5" i="15"/>
  <c r="H5" i="15"/>
  <c r="N6" i="15"/>
  <c r="N8" i="15"/>
  <c r="L8" i="15"/>
  <c r="C4" i="22"/>
  <c r="K4" i="22" s="1"/>
  <c r="H8" i="22"/>
  <c r="G9" i="22"/>
  <c r="H11" i="22"/>
  <c r="BA4" i="15"/>
  <c r="AZ5" i="15"/>
  <c r="H14" i="22"/>
  <c r="I5" i="22"/>
  <c r="C13" i="22"/>
  <c r="K13" i="22" s="1"/>
  <c r="I19" i="22"/>
  <c r="E16" i="22"/>
  <c r="E15" i="22"/>
  <c r="C18" i="24"/>
  <c r="D18" i="24" s="1"/>
  <c r="F3" i="22"/>
  <c r="F6" i="22"/>
  <c r="G79" i="6"/>
  <c r="H79" i="6" s="1"/>
  <c r="J79" i="6" s="1"/>
  <c r="G65" i="6"/>
  <c r="H65" i="6" s="1"/>
  <c r="I65" i="6" s="1"/>
  <c r="I16" i="22"/>
  <c r="K17" i="22"/>
  <c r="J4" i="15"/>
  <c r="AF4" i="15" s="1"/>
  <c r="R5" i="15"/>
  <c r="X5" i="15"/>
  <c r="Q5" i="15"/>
  <c r="AH4" i="15"/>
  <c r="E8" i="22"/>
  <c r="E11" i="22"/>
  <c r="AW4" i="15"/>
  <c r="BB3" i="15"/>
  <c r="BB7" i="15"/>
  <c r="C19" i="22"/>
  <c r="G17" i="22"/>
  <c r="F16" i="22"/>
  <c r="I15" i="22"/>
  <c r="C6" i="22"/>
  <c r="K6" i="22" s="1"/>
  <c r="J66" i="6"/>
  <c r="G75" i="6"/>
  <c r="H75" i="6" s="1"/>
  <c r="I75" i="6" s="1"/>
  <c r="I3" i="21"/>
  <c r="Q4" i="15"/>
  <c r="G8" i="22"/>
  <c r="D9" i="22"/>
  <c r="S4" i="15"/>
  <c r="AA4" i="15" s="1"/>
  <c r="I5" i="15"/>
  <c r="AF5" i="15" s="1"/>
  <c r="M5" i="15"/>
  <c r="I8" i="22"/>
  <c r="F11" i="22"/>
  <c r="AZ4" i="15"/>
  <c r="BB4" i="15"/>
  <c r="H17" i="22"/>
  <c r="G16" i="22"/>
  <c r="H8" i="21"/>
  <c r="I8" i="21"/>
  <c r="T17" i="15"/>
  <c r="G17" i="15"/>
  <c r="AJ17" i="15"/>
  <c r="U17" i="15"/>
  <c r="K17" i="15"/>
  <c r="AH17" i="15"/>
  <c r="H17" i="15"/>
  <c r="Q17" i="15"/>
  <c r="I17" i="15"/>
  <c r="C12" i="22"/>
  <c r="K12" i="22" s="1"/>
  <c r="I12" i="22"/>
  <c r="E12" i="22"/>
  <c r="G12" i="22"/>
  <c r="F12" i="22"/>
  <c r="F51" i="6"/>
  <c r="D5" i="2"/>
  <c r="G5" i="2" s="1"/>
  <c r="D4" i="2"/>
  <c r="G4" i="2" s="1"/>
  <c r="D12" i="2"/>
  <c r="G12" i="2" s="1"/>
  <c r="D7" i="2"/>
  <c r="G7" i="2" s="1"/>
  <c r="D10" i="2"/>
  <c r="G10" i="2" s="1"/>
  <c r="D8" i="3"/>
  <c r="D11" i="2"/>
  <c r="G11" i="2" s="1"/>
  <c r="D6" i="2"/>
  <c r="G6" i="2" s="1"/>
  <c r="F52" i="6"/>
  <c r="F6" i="7"/>
  <c r="C6" i="7" s="1"/>
  <c r="B3" i="19" s="1"/>
  <c r="I9" i="21"/>
  <c r="E4" i="3"/>
  <c r="AV7" i="15"/>
  <c r="G7" i="15"/>
  <c r="BE7" i="15" s="1"/>
  <c r="L7" i="15"/>
  <c r="BC7" i="15"/>
  <c r="T7" i="15"/>
  <c r="AB7" i="15" s="1"/>
  <c r="BA7" i="15"/>
  <c r="R7" i="15"/>
  <c r="Z7" i="15" s="1"/>
  <c r="M7" i="15"/>
  <c r="Q7" i="15"/>
  <c r="K7" i="15"/>
  <c r="AW7" i="15"/>
  <c r="I7" i="15"/>
  <c r="H7" i="15"/>
  <c r="J7" i="15"/>
  <c r="AZ7" i="15"/>
  <c r="Y7" i="15"/>
  <c r="N7" i="15"/>
  <c r="AY7" i="15"/>
  <c r="AH7" i="15"/>
  <c r="I59" i="6"/>
  <c r="J59" i="6" s="1"/>
  <c r="I4" i="21"/>
  <c r="B2" i="19"/>
  <c r="F53" i="6"/>
  <c r="D12" i="22"/>
  <c r="I64" i="6"/>
  <c r="J64" i="6"/>
  <c r="J77" i="6"/>
  <c r="I77" i="6"/>
  <c r="AV4" i="15"/>
  <c r="BB8" i="15"/>
  <c r="I8" i="15"/>
  <c r="X8" i="15"/>
  <c r="F7" i="22"/>
  <c r="K7" i="22"/>
  <c r="I67" i="6"/>
  <c r="J67" i="6"/>
  <c r="E3" i="3"/>
  <c r="I54" i="6"/>
  <c r="J54" i="6" s="1"/>
  <c r="J74" i="6"/>
  <c r="I74" i="6"/>
  <c r="H3" i="15"/>
  <c r="M3" i="15"/>
  <c r="G4" i="15"/>
  <c r="D8" i="22"/>
  <c r="AZ3" i="15"/>
  <c r="BC3" i="15"/>
  <c r="I18" i="22"/>
  <c r="D19" i="22"/>
  <c r="AY8" i="15"/>
  <c r="BC6" i="15"/>
  <c r="AH6" i="15"/>
  <c r="U13" i="15"/>
  <c r="I81" i="6"/>
  <c r="K7" i="4"/>
  <c r="E7" i="4" s="1"/>
  <c r="K10" i="4"/>
  <c r="E10" i="4" s="1"/>
  <c r="K9" i="4"/>
  <c r="E9" i="4" s="1"/>
  <c r="G45" i="4"/>
  <c r="K3" i="4" s="1"/>
  <c r="E3" i="4" s="1"/>
  <c r="K5" i="4"/>
  <c r="E5" i="4" s="1"/>
  <c r="K8" i="4"/>
  <c r="E8" i="4" s="1"/>
  <c r="K6" i="4"/>
  <c r="E6" i="4" s="1"/>
  <c r="I76" i="6"/>
  <c r="J76" i="6"/>
  <c r="AX4" i="15"/>
  <c r="R4" i="15"/>
  <c r="Z4" i="15" s="1"/>
  <c r="I80" i="6"/>
  <c r="J80" i="6"/>
  <c r="AY3" i="15"/>
  <c r="E4" i="22"/>
  <c r="AL13" i="15"/>
  <c r="J13" i="15"/>
  <c r="N13" i="15"/>
  <c r="I72" i="6"/>
  <c r="J72" i="6"/>
  <c r="K71" i="6"/>
  <c r="G71" i="6" s="1"/>
  <c r="H71" i="6" s="1"/>
  <c r="G60" i="6"/>
  <c r="H60" i="6" s="1"/>
  <c r="G73" i="6"/>
  <c r="H73" i="6" s="1"/>
  <c r="G63" i="6"/>
  <c r="H63" i="6" s="1"/>
  <c r="G62" i="6"/>
  <c r="H62" i="6" s="1"/>
  <c r="G68" i="6"/>
  <c r="H68" i="6" s="1"/>
  <c r="K74" i="6"/>
  <c r="C17" i="15" l="1"/>
  <c r="M25" i="26"/>
  <c r="B31" i="26"/>
  <c r="B29" i="13"/>
  <c r="AC8" i="15"/>
  <c r="AD8" i="15" s="1"/>
  <c r="AS13" i="15"/>
  <c r="N52" i="2" s="1"/>
  <c r="J1" i="22"/>
  <c r="B1" i="12" s="1"/>
  <c r="G1" i="22"/>
  <c r="D8" i="6"/>
  <c r="I1" i="22"/>
  <c r="D7" i="6"/>
  <c r="K3" i="22"/>
  <c r="K1" i="22" s="1"/>
  <c r="B60" i="19" s="1"/>
  <c r="C1" i="22"/>
  <c r="E1" i="22"/>
  <c r="R32" i="2" s="1"/>
  <c r="F1" i="22"/>
  <c r="D1" i="22"/>
  <c r="H1" i="22"/>
  <c r="I82" i="6"/>
  <c r="I78" i="6"/>
  <c r="AE8" i="15"/>
  <c r="D8" i="15"/>
  <c r="I56" i="6"/>
  <c r="J56" i="6" s="1"/>
  <c r="J55" i="6"/>
  <c r="AF3" i="15"/>
  <c r="AF1" i="15" s="1"/>
  <c r="BE5" i="15"/>
  <c r="BF5" i="15" s="1"/>
  <c r="H5" i="21"/>
  <c r="BF8" i="15"/>
  <c r="K4" i="4"/>
  <c r="E4" i="4" s="1"/>
  <c r="C5" i="15" s="1"/>
  <c r="H3" i="21"/>
  <c r="BF7" i="15"/>
  <c r="J61" i="6"/>
  <c r="AX1" i="15"/>
  <c r="J65" i="6"/>
  <c r="I79" i="6"/>
  <c r="N40" i="2"/>
  <c r="N43" i="2"/>
  <c r="L1" i="22"/>
  <c r="D12" i="3"/>
  <c r="AW1" i="15"/>
  <c r="AC6" i="15"/>
  <c r="AD6" i="15" s="1"/>
  <c r="AG6" i="15"/>
  <c r="AE6" i="15"/>
  <c r="AE3" i="15"/>
  <c r="BA1" i="15"/>
  <c r="P45" i="2" s="1"/>
  <c r="I71" i="6"/>
  <c r="J71" i="6" s="1"/>
  <c r="F36" i="5" s="1"/>
  <c r="I70" i="6"/>
  <c r="J70" i="6" s="1"/>
  <c r="F32" i="5" s="1"/>
  <c r="I69" i="6"/>
  <c r="J69" i="6" s="1"/>
  <c r="F19" i="5" s="1"/>
  <c r="AC4" i="15"/>
  <c r="AG4" i="15" s="1"/>
  <c r="H7" i="21"/>
  <c r="G29" i="4"/>
  <c r="BC1" i="15"/>
  <c r="BB1" i="15"/>
  <c r="AZ1" i="15"/>
  <c r="P64" i="2" s="1"/>
  <c r="AV1" i="15"/>
  <c r="J75" i="6"/>
  <c r="I7" i="21"/>
  <c r="AE5" i="15"/>
  <c r="V20" i="5"/>
  <c r="D11" i="3"/>
  <c r="Z20" i="5"/>
  <c r="Y19" i="5"/>
  <c r="X20" i="5"/>
  <c r="V19" i="5"/>
  <c r="J9" i="2"/>
  <c r="J10" i="2" s="1"/>
  <c r="Y20" i="5"/>
  <c r="W19" i="5"/>
  <c r="H4" i="2"/>
  <c r="X19" i="5"/>
  <c r="W20" i="5"/>
  <c r="Z19" i="5"/>
  <c r="F19" i="3"/>
  <c r="I9" i="4"/>
  <c r="H9" i="4"/>
  <c r="F9" i="4"/>
  <c r="E29" i="4"/>
  <c r="C16" i="24"/>
  <c r="D16" i="24" s="1"/>
  <c r="C40" i="4"/>
  <c r="I60" i="6"/>
  <c r="J60" i="6" s="1"/>
  <c r="D40" i="6" s="1"/>
  <c r="F65" i="5"/>
  <c r="D45" i="6"/>
  <c r="F34" i="5"/>
  <c r="F7" i="5"/>
  <c r="F18" i="5"/>
  <c r="D21" i="6"/>
  <c r="F49" i="5"/>
  <c r="F9" i="5"/>
  <c r="D38" i="6"/>
  <c r="F54" i="5"/>
  <c r="F29" i="5"/>
  <c r="D9" i="6"/>
  <c r="D10" i="6"/>
  <c r="C4" i="15"/>
  <c r="K52" i="6"/>
  <c r="G52" i="6" s="1"/>
  <c r="H52" i="6" s="1"/>
  <c r="K9" i="2"/>
  <c r="K11" i="2" s="1"/>
  <c r="H5" i="2"/>
  <c r="G27" i="4"/>
  <c r="G30" i="4"/>
  <c r="G28" i="4"/>
  <c r="I63" i="6"/>
  <c r="J63" i="6" s="1"/>
  <c r="F57" i="5" s="1"/>
  <c r="D47" i="6"/>
  <c r="F24" i="5"/>
  <c r="F52" i="5"/>
  <c r="F56" i="5"/>
  <c r="F12" i="5"/>
  <c r="D23" i="6"/>
  <c r="F39" i="5"/>
  <c r="D11" i="6"/>
  <c r="D33" i="6"/>
  <c r="D19" i="6"/>
  <c r="AC7" i="15"/>
  <c r="AD7" i="15" s="1"/>
  <c r="H6" i="2"/>
  <c r="L9" i="2"/>
  <c r="L11" i="2" s="1"/>
  <c r="K51" i="6"/>
  <c r="G51" i="6" s="1"/>
  <c r="H51" i="6" s="1"/>
  <c r="C41" i="4"/>
  <c r="F10" i="4"/>
  <c r="H10" i="4"/>
  <c r="F20" i="3"/>
  <c r="I10" i="4"/>
  <c r="E30" i="4"/>
  <c r="C17" i="24"/>
  <c r="D17" i="24" s="1"/>
  <c r="F37" i="5"/>
  <c r="F11" i="5"/>
  <c r="F53" i="5"/>
  <c r="D42" i="6"/>
  <c r="F26" i="5"/>
  <c r="D41" i="6"/>
  <c r="D25" i="6"/>
  <c r="F38" i="5"/>
  <c r="F27" i="5"/>
  <c r="D17" i="6"/>
  <c r="F51" i="5"/>
  <c r="D29" i="6"/>
  <c r="D24" i="6"/>
  <c r="H11" i="2"/>
  <c r="AY1" i="15"/>
  <c r="H57" i="2"/>
  <c r="F17" i="3"/>
  <c r="H59" i="2"/>
  <c r="C38" i="4"/>
  <c r="C14" i="24"/>
  <c r="D14" i="24" s="1"/>
  <c r="I7" i="4"/>
  <c r="H58" i="2"/>
  <c r="E27" i="4"/>
  <c r="H56" i="2"/>
  <c r="F7" i="4"/>
  <c r="H7" i="4"/>
  <c r="AE4" i="15"/>
  <c r="K53" i="6"/>
  <c r="G53" i="6" s="1"/>
  <c r="H53" i="6" s="1"/>
  <c r="F42" i="5"/>
  <c r="F50" i="5"/>
  <c r="D31" i="6"/>
  <c r="D15" i="6"/>
  <c r="D12" i="6"/>
  <c r="D35" i="6"/>
  <c r="F6" i="5"/>
  <c r="F64" i="5"/>
  <c r="F55" i="5"/>
  <c r="D13" i="6"/>
  <c r="F59" i="5"/>
  <c r="D30" i="6"/>
  <c r="M9" i="2"/>
  <c r="M11" i="2" s="1"/>
  <c r="H7" i="2"/>
  <c r="H52" i="2"/>
  <c r="H49" i="2"/>
  <c r="H68" i="2"/>
  <c r="C36" i="4"/>
  <c r="F5" i="4"/>
  <c r="H64" i="2"/>
  <c r="H54" i="2"/>
  <c r="H48" i="2"/>
  <c r="H53" i="2"/>
  <c r="H62" i="2"/>
  <c r="H69" i="2"/>
  <c r="F25" i="3"/>
  <c r="H50" i="2"/>
  <c r="H61" i="2"/>
  <c r="H63" i="2"/>
  <c r="H43" i="2"/>
  <c r="I5" i="4"/>
  <c r="C12" i="24"/>
  <c r="D12" i="24" s="1"/>
  <c r="H5" i="4"/>
  <c r="I68" i="6"/>
  <c r="J68" i="6" s="1"/>
  <c r="D39" i="6" s="1"/>
  <c r="D5" i="6"/>
  <c r="D26" i="6"/>
  <c r="D3" i="6"/>
  <c r="D36" i="6"/>
  <c r="F47" i="5"/>
  <c r="F23" i="5"/>
  <c r="D43" i="6"/>
  <c r="F10" i="5"/>
  <c r="D34" i="6"/>
  <c r="F67" i="5"/>
  <c r="D46" i="6"/>
  <c r="F58" i="5"/>
  <c r="F22" i="5"/>
  <c r="H10" i="2"/>
  <c r="O5" i="4"/>
  <c r="F26" i="3"/>
  <c r="F36" i="3"/>
  <c r="F6" i="4"/>
  <c r="H6" i="4"/>
  <c r="F41" i="3"/>
  <c r="I6" i="4"/>
  <c r="C37" i="4"/>
  <c r="C13" i="24"/>
  <c r="D13" i="24" s="1"/>
  <c r="H72" i="2"/>
  <c r="I3" i="4"/>
  <c r="C34" i="4"/>
  <c r="O3" i="4"/>
  <c r="H3" i="4"/>
  <c r="F34" i="3"/>
  <c r="C13" i="15"/>
  <c r="F40" i="3"/>
  <c r="C3" i="15"/>
  <c r="F23" i="3"/>
  <c r="C10" i="24"/>
  <c r="D10" i="24" s="1"/>
  <c r="F3" i="4"/>
  <c r="I62" i="6"/>
  <c r="J62" i="6" s="1"/>
  <c r="F63" i="5" s="1"/>
  <c r="AU13" i="15"/>
  <c r="N77" i="2" s="1"/>
  <c r="C15" i="24"/>
  <c r="D15" i="24" s="1"/>
  <c r="F18" i="3"/>
  <c r="H8" i="4"/>
  <c r="I8" i="4"/>
  <c r="E28" i="4"/>
  <c r="F8" i="4"/>
  <c r="C39" i="4"/>
  <c r="F15" i="5"/>
  <c r="F25" i="5"/>
  <c r="F44" i="5"/>
  <c r="F28" i="5"/>
  <c r="F4" i="5"/>
  <c r="D6" i="6"/>
  <c r="F8" i="5"/>
  <c r="D16" i="6"/>
  <c r="F31" i="5"/>
  <c r="F16" i="5"/>
  <c r="F41" i="5"/>
  <c r="D14" i="6"/>
  <c r="T52" i="2"/>
  <c r="T53" i="2"/>
  <c r="T54" i="2"/>
  <c r="D28" i="6"/>
  <c r="D32" i="6"/>
  <c r="F21" i="5"/>
  <c r="F61" i="5"/>
  <c r="F20" i="5"/>
  <c r="D18" i="6"/>
  <c r="D44" i="6"/>
  <c r="F60" i="5"/>
  <c r="F13" i="5"/>
  <c r="F30" i="5"/>
  <c r="D7" i="15"/>
  <c r="AE7" i="15"/>
  <c r="H12" i="2"/>
  <c r="F46" i="5"/>
  <c r="F35" i="5"/>
  <c r="F5" i="5"/>
  <c r="J73" i="6"/>
  <c r="I73" i="6"/>
  <c r="I6" i="21"/>
  <c r="H6" i="21"/>
  <c r="F17" i="5"/>
  <c r="F33" i="5"/>
  <c r="F43" i="5"/>
  <c r="D27" i="6"/>
  <c r="F62" i="5"/>
  <c r="F66" i="5"/>
  <c r="D22" i="6"/>
  <c r="F45" i="5"/>
  <c r="F40" i="5"/>
  <c r="D4" i="6"/>
  <c r="D20" i="6"/>
  <c r="F14" i="5"/>
  <c r="F3" i="5"/>
  <c r="F48" i="5"/>
  <c r="H39" i="2" l="1"/>
  <c r="B54" i="19"/>
  <c r="D37" i="6"/>
  <c r="N54" i="2"/>
  <c r="H73" i="2"/>
  <c r="N53" i="2"/>
  <c r="K12" i="2"/>
  <c r="F33" i="2" s="1"/>
  <c r="K10" i="2"/>
  <c r="E18" i="3" s="1"/>
  <c r="D18" i="3" s="1"/>
  <c r="C35" i="4"/>
  <c r="B29" i="19" s="1"/>
  <c r="J12" i="2"/>
  <c r="F72" i="2" s="1"/>
  <c r="J11" i="2"/>
  <c r="F66" i="2" s="1"/>
  <c r="C7" i="6"/>
  <c r="C8" i="6"/>
  <c r="O4" i="4"/>
  <c r="H45" i="2"/>
  <c r="F35" i="3"/>
  <c r="C11" i="24"/>
  <c r="D11" i="24" s="1"/>
  <c r="F24" i="3"/>
  <c r="H40" i="2"/>
  <c r="H37" i="2"/>
  <c r="H4" i="4"/>
  <c r="H71" i="2"/>
  <c r="H38" i="2"/>
  <c r="H44" i="2"/>
  <c r="I4" i="4"/>
  <c r="M12" i="2"/>
  <c r="F34" i="2" s="1"/>
  <c r="B18" i="13"/>
  <c r="F4" i="4"/>
  <c r="P43" i="2"/>
  <c r="M10" i="2"/>
  <c r="E17" i="3" s="1"/>
  <c r="D17" i="3" s="1"/>
  <c r="H1" i="21"/>
  <c r="B43" i="19" s="1"/>
  <c r="B10" i="13" s="1"/>
  <c r="B41" i="19"/>
  <c r="B8" i="13" s="1"/>
  <c r="P42" i="2"/>
  <c r="P44" i="2"/>
  <c r="P67" i="2"/>
  <c r="AD4" i="15"/>
  <c r="I1" i="21"/>
  <c r="J1" i="21" s="1"/>
  <c r="L12" i="2"/>
  <c r="B53" i="19" s="1"/>
  <c r="B17" i="13" s="1"/>
  <c r="L10" i="2"/>
  <c r="B38" i="19"/>
  <c r="B5" i="13" s="1"/>
  <c r="F68" i="2"/>
  <c r="F59" i="2"/>
  <c r="B39" i="19"/>
  <c r="B6" i="13" s="1"/>
  <c r="F69" i="2"/>
  <c r="L13" i="26"/>
  <c r="F62" i="2"/>
  <c r="I53" i="6"/>
  <c r="J53" i="6" s="1"/>
  <c r="C37" i="6" s="1"/>
  <c r="F13" i="26"/>
  <c r="B40" i="19"/>
  <c r="B7" i="13" s="1"/>
  <c r="F64" i="2"/>
  <c r="B24" i="2"/>
  <c r="F37" i="2"/>
  <c r="C12" i="26"/>
  <c r="F39" i="2"/>
  <c r="E22" i="5"/>
  <c r="E29" i="5"/>
  <c r="E60" i="5"/>
  <c r="C40" i="6"/>
  <c r="E6" i="5"/>
  <c r="E54" i="5"/>
  <c r="E61" i="5"/>
  <c r="C33" i="6"/>
  <c r="E28" i="5"/>
  <c r="E11" i="5"/>
  <c r="C5" i="6"/>
  <c r="E48" i="5"/>
  <c r="C27" i="6"/>
  <c r="C21" i="6"/>
  <c r="E57" i="5"/>
  <c r="E25" i="5"/>
  <c r="C45" i="6"/>
  <c r="E46" i="5"/>
  <c r="E53" i="5"/>
  <c r="C25" i="6"/>
  <c r="E20" i="5"/>
  <c r="E67" i="5"/>
  <c r="E38" i="5"/>
  <c r="C17" i="6"/>
  <c r="E12" i="5"/>
  <c r="E59" i="5"/>
  <c r="C47" i="6"/>
  <c r="E58" i="5"/>
  <c r="C38" i="6"/>
  <c r="E5" i="5"/>
  <c r="C24" i="6"/>
  <c r="C39" i="6"/>
  <c r="E34" i="5"/>
  <c r="E56" i="5"/>
  <c r="C11" i="6"/>
  <c r="C34" i="6"/>
  <c r="E33" i="5"/>
  <c r="C13" i="6"/>
  <c r="E62" i="5"/>
  <c r="C9" i="6"/>
  <c r="E51" i="5"/>
  <c r="C23" i="6"/>
  <c r="E10" i="5"/>
  <c r="E32" i="5"/>
  <c r="E41" i="5"/>
  <c r="E7" i="5"/>
  <c r="C20" i="6"/>
  <c r="E49" i="5"/>
  <c r="E30" i="5"/>
  <c r="E52" i="5"/>
  <c r="E43" i="5"/>
  <c r="C15" i="6"/>
  <c r="C46" i="6"/>
  <c r="E24" i="5"/>
  <c r="E9" i="5"/>
  <c r="E14" i="5"/>
  <c r="E35" i="5"/>
  <c r="C6" i="6"/>
  <c r="C30" i="6"/>
  <c r="E8" i="5"/>
  <c r="C42" i="6"/>
  <c r="E36" i="5"/>
  <c r="E27" i="5"/>
  <c r="E37" i="5"/>
  <c r="E4" i="5"/>
  <c r="E19" i="5"/>
  <c r="E50" i="5"/>
  <c r="C14" i="6"/>
  <c r="E15" i="5"/>
  <c r="C10" i="6"/>
  <c r="C18" i="6"/>
  <c r="E23" i="5"/>
  <c r="E21" i="5"/>
  <c r="C32" i="6"/>
  <c r="E3" i="5"/>
  <c r="E42" i="5"/>
  <c r="E64" i="5"/>
  <c r="C44" i="6"/>
  <c r="C35" i="6"/>
  <c r="E47" i="5"/>
  <c r="E65" i="5"/>
  <c r="C16" i="6"/>
  <c r="C43" i="6"/>
  <c r="E63" i="5"/>
  <c r="E13" i="5"/>
  <c r="C31" i="6"/>
  <c r="C26" i="6"/>
  <c r="C19" i="6"/>
  <c r="E66" i="5"/>
  <c r="E39" i="5"/>
  <c r="E55" i="5"/>
  <c r="E26" i="5"/>
  <c r="C22" i="6"/>
  <c r="C4" i="6"/>
  <c r="C28" i="6"/>
  <c r="E40" i="5"/>
  <c r="E31" i="5"/>
  <c r="E17" i="5"/>
  <c r="I51" i="6"/>
  <c r="J51" i="6" s="1"/>
  <c r="E18" i="5" s="1"/>
  <c r="C41" i="6"/>
  <c r="C12" i="6"/>
  <c r="C36" i="6"/>
  <c r="C29" i="6"/>
  <c r="E16" i="5"/>
  <c r="D14" i="4"/>
  <c r="D15" i="4" s="1"/>
  <c r="F47" i="2"/>
  <c r="B47" i="19"/>
  <c r="B13" i="13" s="1"/>
  <c r="E23" i="3"/>
  <c r="D23" i="3" s="1"/>
  <c r="I12" i="26"/>
  <c r="I13" i="26"/>
  <c r="F49" i="2"/>
  <c r="F53" i="2"/>
  <c r="I52" i="6"/>
  <c r="J52" i="6" s="1"/>
  <c r="E44" i="5" s="1"/>
  <c r="B18" i="2"/>
  <c r="L31" i="13"/>
  <c r="B58" i="19"/>
  <c r="M32" i="26"/>
  <c r="F44" i="2" l="1"/>
  <c r="C13" i="26"/>
  <c r="E45" i="5"/>
  <c r="H45" i="5" s="1"/>
  <c r="D61" i="24" s="1"/>
  <c r="E20" i="3"/>
  <c r="D20" i="3" s="1"/>
  <c r="D21" i="3" s="1"/>
  <c r="F12" i="26"/>
  <c r="F77" i="2"/>
  <c r="F32" i="2"/>
  <c r="C14" i="26"/>
  <c r="F14" i="26"/>
  <c r="F71" i="2"/>
  <c r="E19" i="3"/>
  <c r="D19" i="3" s="1"/>
  <c r="B37" i="19"/>
  <c r="B4" i="13" s="1"/>
  <c r="F35" i="2"/>
  <c r="F78" i="2"/>
  <c r="F38" i="2"/>
  <c r="F40" i="2"/>
  <c r="F56" i="2"/>
  <c r="F57" i="2"/>
  <c r="L12" i="26"/>
  <c r="F67" i="2"/>
  <c r="L14" i="26"/>
  <c r="F79" i="2"/>
  <c r="F58" i="2"/>
  <c r="D58" i="2" s="1"/>
  <c r="I9" i="26" s="1"/>
  <c r="B36" i="19"/>
  <c r="B3" i="13" s="1"/>
  <c r="F63" i="2"/>
  <c r="F61" i="2"/>
  <c r="E8" i="6"/>
  <c r="G8" i="6" s="1"/>
  <c r="F8" i="6"/>
  <c r="F7" i="6"/>
  <c r="E7" i="6"/>
  <c r="G7" i="6" s="1"/>
  <c r="F76" i="2"/>
  <c r="I14" i="26"/>
  <c r="C3" i="6"/>
  <c r="E3" i="6" s="1"/>
  <c r="G3" i="6" s="1"/>
  <c r="E32" i="3"/>
  <c r="K1" i="21"/>
  <c r="F48" i="2"/>
  <c r="E25" i="3"/>
  <c r="D25" i="3" s="1"/>
  <c r="E40" i="3"/>
  <c r="B21" i="2"/>
  <c r="E41" i="3"/>
  <c r="B27" i="2"/>
  <c r="F73" i="2"/>
  <c r="D73" i="2" s="1"/>
  <c r="I34" i="13" s="1"/>
  <c r="F50" i="2"/>
  <c r="F52" i="2"/>
  <c r="E26" i="3"/>
  <c r="D26" i="3" s="1"/>
  <c r="E30" i="3" s="1"/>
  <c r="F54" i="2"/>
  <c r="B46" i="19"/>
  <c r="B12" i="13" s="1"/>
  <c r="F42" i="2"/>
  <c r="F43" i="2"/>
  <c r="E24" i="3"/>
  <c r="D24" i="3" s="1"/>
  <c r="F45" i="2"/>
  <c r="G18" i="5"/>
  <c r="I18" i="5" s="1"/>
  <c r="H18" i="5"/>
  <c r="H44" i="5"/>
  <c r="G44" i="5"/>
  <c r="I44" i="5" s="1"/>
  <c r="F44" i="6"/>
  <c r="E44" i="6"/>
  <c r="G44" i="6" s="1"/>
  <c r="F9" i="6"/>
  <c r="E9" i="6"/>
  <c r="G9" i="6" s="1"/>
  <c r="E45" i="6"/>
  <c r="G45" i="6" s="1"/>
  <c r="F45" i="6"/>
  <c r="E41" i="6"/>
  <c r="G41" i="6" s="1"/>
  <c r="F41" i="6"/>
  <c r="F22" i="6"/>
  <c r="E22" i="6"/>
  <c r="G22" i="6" s="1"/>
  <c r="G13" i="5"/>
  <c r="I13" i="5" s="1"/>
  <c r="H13" i="5"/>
  <c r="D29" i="24" s="1"/>
  <c r="G64" i="5"/>
  <c r="I64" i="5" s="1"/>
  <c r="H64" i="5"/>
  <c r="D80" i="24" s="1"/>
  <c r="F10" i="6"/>
  <c r="E10" i="6"/>
  <c r="G10" i="6" s="1"/>
  <c r="H36" i="5"/>
  <c r="D52" i="24" s="1"/>
  <c r="G36" i="5"/>
  <c r="I36" i="5" s="1"/>
  <c r="H9" i="5"/>
  <c r="G9" i="5"/>
  <c r="I9" i="5" s="1"/>
  <c r="F20" i="6"/>
  <c r="E20" i="6"/>
  <c r="G20" i="6" s="1"/>
  <c r="H62" i="5"/>
  <c r="D78" i="24" s="1"/>
  <c r="G62" i="5"/>
  <c r="I62" i="5" s="1"/>
  <c r="F24" i="6"/>
  <c r="E24" i="6"/>
  <c r="G24" i="6" s="1"/>
  <c r="G45" i="5"/>
  <c r="I45" i="5" s="1"/>
  <c r="G25" i="5"/>
  <c r="I25" i="5" s="1"/>
  <c r="H25" i="5"/>
  <c r="D41" i="24" s="1"/>
  <c r="G29" i="5"/>
  <c r="I29" i="5" s="1"/>
  <c r="H29" i="5"/>
  <c r="D45" i="24" s="1"/>
  <c r="H27" i="5"/>
  <c r="D43" i="24" s="1"/>
  <c r="G27" i="5"/>
  <c r="I27" i="5" s="1"/>
  <c r="F17" i="6"/>
  <c r="E17" i="6"/>
  <c r="G17" i="6" s="1"/>
  <c r="H11" i="5"/>
  <c r="D27" i="24" s="1"/>
  <c r="G11" i="5"/>
  <c r="I11" i="5" s="1"/>
  <c r="H26" i="5"/>
  <c r="D42" i="24" s="1"/>
  <c r="G26" i="5"/>
  <c r="I26" i="5" s="1"/>
  <c r="G63" i="5"/>
  <c r="I63" i="5" s="1"/>
  <c r="H63" i="5"/>
  <c r="D79" i="24" s="1"/>
  <c r="H42" i="5"/>
  <c r="D58" i="24" s="1"/>
  <c r="G42" i="5"/>
  <c r="I42" i="5" s="1"/>
  <c r="H15" i="5"/>
  <c r="D31" i="24" s="1"/>
  <c r="G15" i="5"/>
  <c r="I15" i="5" s="1"/>
  <c r="F42" i="6"/>
  <c r="E42" i="6"/>
  <c r="G42" i="6" s="1"/>
  <c r="H24" i="5"/>
  <c r="D40" i="24" s="1"/>
  <c r="G24" i="5"/>
  <c r="I24" i="5" s="1"/>
  <c r="G7" i="5"/>
  <c r="I7" i="5" s="1"/>
  <c r="H7" i="5"/>
  <c r="D23" i="24" s="1"/>
  <c r="F13" i="6"/>
  <c r="E13" i="6"/>
  <c r="G13" i="6" s="1"/>
  <c r="H5" i="5"/>
  <c r="D21" i="24" s="1"/>
  <c r="G5" i="5"/>
  <c r="I5" i="5" s="1"/>
  <c r="H38" i="5"/>
  <c r="D54" i="24" s="1"/>
  <c r="G38" i="5"/>
  <c r="I38" i="5" s="1"/>
  <c r="H57" i="5"/>
  <c r="D73" i="24" s="1"/>
  <c r="G57" i="5"/>
  <c r="I57" i="5" s="1"/>
  <c r="G28" i="5"/>
  <c r="I28" i="5" s="1"/>
  <c r="H28" i="5"/>
  <c r="D44" i="24" s="1"/>
  <c r="G22" i="5"/>
  <c r="I22" i="5" s="1"/>
  <c r="H22" i="5"/>
  <c r="D38" i="24" s="1"/>
  <c r="F18" i="6"/>
  <c r="E18" i="6"/>
  <c r="G18" i="6" s="1"/>
  <c r="F39" i="6"/>
  <c r="E39" i="6"/>
  <c r="G39" i="6" s="1"/>
  <c r="G55" i="5"/>
  <c r="I55" i="5" s="1"/>
  <c r="H55" i="5"/>
  <c r="D71" i="24" s="1"/>
  <c r="E43" i="6"/>
  <c r="G43" i="6" s="1"/>
  <c r="F43" i="6"/>
  <c r="G3" i="5"/>
  <c r="I3" i="5" s="1"/>
  <c r="H3" i="5"/>
  <c r="D19" i="24" s="1"/>
  <c r="E14" i="6"/>
  <c r="G14" i="6" s="1"/>
  <c r="F14" i="6"/>
  <c r="G8" i="5"/>
  <c r="I8" i="5" s="1"/>
  <c r="H8" i="5"/>
  <c r="D24" i="24" s="1"/>
  <c r="F46" i="6"/>
  <c r="E46" i="6"/>
  <c r="G46" i="6" s="1"/>
  <c r="H41" i="5"/>
  <c r="D57" i="24" s="1"/>
  <c r="G41" i="5"/>
  <c r="I41" i="5" s="1"/>
  <c r="H33" i="5"/>
  <c r="D49" i="24" s="1"/>
  <c r="G33" i="5"/>
  <c r="I33" i="5" s="1"/>
  <c r="F38" i="6"/>
  <c r="E38" i="6"/>
  <c r="G38" i="6" s="1"/>
  <c r="G67" i="5"/>
  <c r="I67" i="5" s="1"/>
  <c r="H67" i="5"/>
  <c r="D83" i="24" s="1"/>
  <c r="F21" i="6"/>
  <c r="E21" i="6"/>
  <c r="G21" i="6" s="1"/>
  <c r="E33" i="6"/>
  <c r="G33" i="6" s="1"/>
  <c r="F33" i="6"/>
  <c r="F31" i="6"/>
  <c r="E31" i="6"/>
  <c r="G31" i="6" s="1"/>
  <c r="H17" i="5"/>
  <c r="D33" i="24" s="1"/>
  <c r="G17" i="5"/>
  <c r="I17" i="5" s="1"/>
  <c r="E16" i="6"/>
  <c r="G16" i="6" s="1"/>
  <c r="F16" i="6"/>
  <c r="E30" i="6"/>
  <c r="G30" i="6" s="1"/>
  <c r="F30" i="6"/>
  <c r="G32" i="5"/>
  <c r="I32" i="5" s="1"/>
  <c r="H32" i="5"/>
  <c r="D48" i="24" s="1"/>
  <c r="E34" i="6"/>
  <c r="G34" i="6" s="1"/>
  <c r="F34" i="6"/>
  <c r="G58" i="5"/>
  <c r="I58" i="5" s="1"/>
  <c r="H58" i="5"/>
  <c r="D74" i="24" s="1"/>
  <c r="H20" i="5"/>
  <c r="D36" i="24" s="1"/>
  <c r="G20" i="5"/>
  <c r="I20" i="5" s="1"/>
  <c r="F27" i="6"/>
  <c r="E27" i="6"/>
  <c r="G27" i="6" s="1"/>
  <c r="H61" i="5"/>
  <c r="D77" i="24" s="1"/>
  <c r="G61" i="5"/>
  <c r="I61" i="5" s="1"/>
  <c r="C131" i="24"/>
  <c r="D131" i="24" s="1"/>
  <c r="H14" i="5"/>
  <c r="D30" i="24" s="1"/>
  <c r="G14" i="5"/>
  <c r="I14" i="5" s="1"/>
  <c r="H39" i="5"/>
  <c r="D55" i="24" s="1"/>
  <c r="G39" i="5"/>
  <c r="I39" i="5" s="1"/>
  <c r="F32" i="6"/>
  <c r="E32" i="6"/>
  <c r="G32" i="6" s="1"/>
  <c r="G50" i="5"/>
  <c r="I50" i="5" s="1"/>
  <c r="H50" i="5"/>
  <c r="D66" i="24" s="1"/>
  <c r="E15" i="6"/>
  <c r="G15" i="6" s="1"/>
  <c r="F15" i="6"/>
  <c r="F29" i="6"/>
  <c r="E29" i="6"/>
  <c r="G29" i="6" s="1"/>
  <c r="G31" i="5"/>
  <c r="I31" i="5" s="1"/>
  <c r="H31" i="5"/>
  <c r="D47" i="24" s="1"/>
  <c r="G66" i="5"/>
  <c r="I66" i="5" s="1"/>
  <c r="H66" i="5"/>
  <c r="D82" i="24" s="1"/>
  <c r="G65" i="5"/>
  <c r="I65" i="5" s="1"/>
  <c r="H65" i="5"/>
  <c r="D81" i="24" s="1"/>
  <c r="G21" i="5"/>
  <c r="I21" i="5" s="1"/>
  <c r="H21" i="5"/>
  <c r="D37" i="24" s="1"/>
  <c r="H19" i="5"/>
  <c r="D35" i="24" s="1"/>
  <c r="G19" i="5"/>
  <c r="I19" i="5" s="1"/>
  <c r="K19" i="5" s="1"/>
  <c r="U19" i="5" s="1"/>
  <c r="Z3" i="15" s="1"/>
  <c r="F6" i="6"/>
  <c r="E6" i="6"/>
  <c r="G6" i="6" s="1"/>
  <c r="H43" i="5"/>
  <c r="D59" i="24" s="1"/>
  <c r="G43" i="5"/>
  <c r="I43" i="5" s="1"/>
  <c r="H10" i="5"/>
  <c r="D26" i="24" s="1"/>
  <c r="G10" i="5"/>
  <c r="I10" i="5" s="1"/>
  <c r="E11" i="6"/>
  <c r="G11" i="6" s="1"/>
  <c r="F11" i="6"/>
  <c r="F47" i="6"/>
  <c r="E47" i="6"/>
  <c r="G47" i="6" s="1"/>
  <c r="F25" i="6"/>
  <c r="E25" i="6"/>
  <c r="G25" i="6" s="1"/>
  <c r="H48" i="5"/>
  <c r="D64" i="24" s="1"/>
  <c r="G48" i="5"/>
  <c r="I48" i="5" s="1"/>
  <c r="H54" i="5"/>
  <c r="D70" i="24" s="1"/>
  <c r="G54" i="5"/>
  <c r="I54" i="5" s="1"/>
  <c r="E4" i="6"/>
  <c r="G4" i="6" s="1"/>
  <c r="F4" i="6"/>
  <c r="G49" i="5"/>
  <c r="I49" i="5" s="1"/>
  <c r="H49" i="5"/>
  <c r="D65" i="24" s="1"/>
  <c r="E36" i="6"/>
  <c r="G36" i="6" s="1"/>
  <c r="F36" i="6"/>
  <c r="H40" i="5"/>
  <c r="D56" i="24" s="1"/>
  <c r="G40" i="5"/>
  <c r="I40" i="5" s="1"/>
  <c r="E19" i="6"/>
  <c r="G19" i="6" s="1"/>
  <c r="F19" i="6"/>
  <c r="G47" i="5"/>
  <c r="I47" i="5" s="1"/>
  <c r="H47" i="5"/>
  <c r="D63" i="24" s="1"/>
  <c r="H4" i="5"/>
  <c r="G4" i="5"/>
  <c r="I4" i="5" s="1"/>
  <c r="H35" i="5"/>
  <c r="D51" i="24" s="1"/>
  <c r="G35" i="5"/>
  <c r="I35" i="5" s="1"/>
  <c r="H52" i="5"/>
  <c r="D68" i="24" s="1"/>
  <c r="G52" i="5"/>
  <c r="I52" i="5" s="1"/>
  <c r="F23" i="6"/>
  <c r="E23" i="6"/>
  <c r="G23" i="6" s="1"/>
  <c r="H56" i="5"/>
  <c r="D72" i="24" s="1"/>
  <c r="G56" i="5"/>
  <c r="I56" i="5" s="1"/>
  <c r="G59" i="5"/>
  <c r="I59" i="5" s="1"/>
  <c r="H59" i="5"/>
  <c r="D75" i="24" s="1"/>
  <c r="G53" i="5"/>
  <c r="I53" i="5" s="1"/>
  <c r="H53" i="5"/>
  <c r="D69" i="24" s="1"/>
  <c r="H6" i="5"/>
  <c r="D22" i="24" s="1"/>
  <c r="G6" i="5"/>
  <c r="I6" i="5" s="1"/>
  <c r="E11" i="3" s="1"/>
  <c r="F12" i="6"/>
  <c r="E12" i="6"/>
  <c r="G12" i="6" s="1"/>
  <c r="G16" i="5"/>
  <c r="I16" i="5" s="1"/>
  <c r="H16" i="5"/>
  <c r="D32" i="24" s="1"/>
  <c r="F37" i="6"/>
  <c r="E37" i="6"/>
  <c r="G37" i="6" s="1"/>
  <c r="E12" i="3" s="1"/>
  <c r="F12" i="3" s="1"/>
  <c r="E28" i="6"/>
  <c r="G28" i="6" s="1"/>
  <c r="F28" i="6"/>
  <c r="F26" i="6"/>
  <c r="E26" i="6"/>
  <c r="G26" i="6" s="1"/>
  <c r="F35" i="6"/>
  <c r="E35" i="6"/>
  <c r="G35" i="6" s="1"/>
  <c r="G23" i="5"/>
  <c r="I23" i="5" s="1"/>
  <c r="H23" i="5"/>
  <c r="D39" i="24" s="1"/>
  <c r="H37" i="5"/>
  <c r="D53" i="24" s="1"/>
  <c r="G37" i="5"/>
  <c r="I37" i="5" s="1"/>
  <c r="H30" i="5"/>
  <c r="D46" i="24" s="1"/>
  <c r="G30" i="5"/>
  <c r="I30" i="5" s="1"/>
  <c r="H51" i="5"/>
  <c r="D67" i="24" s="1"/>
  <c r="G51" i="5"/>
  <c r="I51" i="5" s="1"/>
  <c r="H34" i="5"/>
  <c r="D50" i="24" s="1"/>
  <c r="G34" i="5"/>
  <c r="I34" i="5" s="1"/>
  <c r="H12" i="5"/>
  <c r="D28" i="24" s="1"/>
  <c r="G12" i="5"/>
  <c r="I12" i="5" s="1"/>
  <c r="G46" i="5"/>
  <c r="I46" i="5" s="1"/>
  <c r="H46" i="5"/>
  <c r="D62" i="24" s="1"/>
  <c r="F5" i="6"/>
  <c r="E5" i="6"/>
  <c r="G5" i="6" s="1"/>
  <c r="F40" i="6"/>
  <c r="E40" i="6"/>
  <c r="G40" i="6" s="1"/>
  <c r="H60" i="5"/>
  <c r="D76" i="24" s="1"/>
  <c r="G60" i="5"/>
  <c r="I60" i="5" s="1"/>
  <c r="D25" i="24" l="1"/>
  <c r="F3" i="6"/>
  <c r="E29" i="3"/>
  <c r="D20" i="24"/>
  <c r="K7" i="6"/>
  <c r="I7" i="6"/>
  <c r="H7" i="6"/>
  <c r="L7" i="6"/>
  <c r="L8" i="6"/>
  <c r="H8" i="6"/>
  <c r="I8" i="6"/>
  <c r="K8" i="6" s="1"/>
  <c r="B9" i="19"/>
  <c r="E28" i="3"/>
  <c r="D34" i="24"/>
  <c r="N59" i="5"/>
  <c r="K59" i="5"/>
  <c r="Q59" i="5"/>
  <c r="J59" i="5"/>
  <c r="O59" i="5"/>
  <c r="K65" i="5"/>
  <c r="F29" i="4" s="1"/>
  <c r="O65" i="5"/>
  <c r="J65" i="5"/>
  <c r="N65" i="5"/>
  <c r="O14" i="5"/>
  <c r="J14" i="5"/>
  <c r="K14" i="5"/>
  <c r="N14" i="5"/>
  <c r="N58" i="5"/>
  <c r="O58" i="5"/>
  <c r="J58" i="5"/>
  <c r="Q58" i="5"/>
  <c r="K58" i="5"/>
  <c r="I16" i="6"/>
  <c r="L78" i="2" s="1"/>
  <c r="D78" i="2" s="1"/>
  <c r="I25" i="26" s="1"/>
  <c r="H16" i="6"/>
  <c r="L16" i="6"/>
  <c r="K16" i="6"/>
  <c r="J8" i="5"/>
  <c r="O8" i="5"/>
  <c r="K8" i="5"/>
  <c r="J74" i="2" s="1"/>
  <c r="D74" i="2" s="1"/>
  <c r="I35" i="13" s="1"/>
  <c r="J55" i="5"/>
  <c r="N55" i="5"/>
  <c r="O55" i="5"/>
  <c r="K55" i="5"/>
  <c r="K57" i="5"/>
  <c r="N57" i="5" s="1"/>
  <c r="O57" i="5"/>
  <c r="J57" i="5"/>
  <c r="J42" i="5"/>
  <c r="O42" i="5"/>
  <c r="K42" i="5"/>
  <c r="N42" i="5"/>
  <c r="R42" i="5"/>
  <c r="K11" i="5"/>
  <c r="N11" i="5"/>
  <c r="J11" i="5"/>
  <c r="O11" i="5"/>
  <c r="N9" i="5"/>
  <c r="J9" i="5"/>
  <c r="K9" i="5"/>
  <c r="O9" i="5"/>
  <c r="L9" i="6"/>
  <c r="H9" i="6"/>
  <c r="K9" i="6"/>
  <c r="I9" i="6"/>
  <c r="K12" i="5"/>
  <c r="J12" i="5"/>
  <c r="N12" i="5"/>
  <c r="O12" i="5"/>
  <c r="O37" i="5"/>
  <c r="J37" i="5"/>
  <c r="K37" i="5"/>
  <c r="R37" i="5"/>
  <c r="N37" i="5"/>
  <c r="O6" i="5"/>
  <c r="K6" i="5"/>
  <c r="N6" i="5" s="1"/>
  <c r="J6" i="5"/>
  <c r="F11" i="3"/>
  <c r="N56" i="5"/>
  <c r="K56" i="5"/>
  <c r="J56" i="5"/>
  <c r="Q56" i="5"/>
  <c r="O56" i="5"/>
  <c r="O4" i="5"/>
  <c r="K4" i="5"/>
  <c r="N4" i="5" s="1"/>
  <c r="J4" i="5"/>
  <c r="I47" i="6"/>
  <c r="K47" i="6" s="1"/>
  <c r="H47" i="6"/>
  <c r="L47" i="6"/>
  <c r="L6" i="6"/>
  <c r="K6" i="6"/>
  <c r="I6" i="6"/>
  <c r="H6" i="6"/>
  <c r="I15" i="6"/>
  <c r="L77" i="2" s="1"/>
  <c r="D77" i="2" s="1"/>
  <c r="I24" i="26" s="1"/>
  <c r="H15" i="6"/>
  <c r="L15" i="6"/>
  <c r="K15" i="6"/>
  <c r="N61" i="5"/>
  <c r="K61" i="5"/>
  <c r="Q61" i="5"/>
  <c r="J61" i="5"/>
  <c r="O61" i="5"/>
  <c r="N17" i="5"/>
  <c r="O17" i="5"/>
  <c r="J17" i="5"/>
  <c r="K17" i="5"/>
  <c r="K33" i="5"/>
  <c r="J72" i="2" s="1"/>
  <c r="D72" i="2" s="1"/>
  <c r="I33" i="13" s="1"/>
  <c r="J33" i="5"/>
  <c r="O33" i="5"/>
  <c r="N33" i="5"/>
  <c r="O7" i="5"/>
  <c r="K7" i="5"/>
  <c r="J7" i="5"/>
  <c r="N7" i="5"/>
  <c r="O45" i="5"/>
  <c r="J45" i="5"/>
  <c r="K45" i="5"/>
  <c r="F30" i="3" s="1"/>
  <c r="D30" i="3" s="1"/>
  <c r="N45" i="5"/>
  <c r="R45" i="5"/>
  <c r="J13" i="5"/>
  <c r="O13" i="5"/>
  <c r="K13" i="5"/>
  <c r="N13" i="5"/>
  <c r="J66" i="5"/>
  <c r="O66" i="5"/>
  <c r="K66" i="5"/>
  <c r="F30" i="4" s="1"/>
  <c r="N66" i="5"/>
  <c r="L34" i="6"/>
  <c r="H34" i="6"/>
  <c r="K34" i="6"/>
  <c r="I34" i="6"/>
  <c r="I33" i="6"/>
  <c r="K33" i="6"/>
  <c r="L33" i="6"/>
  <c r="H33" i="6"/>
  <c r="I14" i="6"/>
  <c r="L76" i="2" s="1"/>
  <c r="D76" i="2" s="1"/>
  <c r="I23" i="26" s="1"/>
  <c r="L14" i="6"/>
  <c r="H14" i="6"/>
  <c r="K14" i="6"/>
  <c r="I39" i="6"/>
  <c r="K39" i="6" s="1"/>
  <c r="H39" i="6"/>
  <c r="L39" i="6"/>
  <c r="K38" i="5"/>
  <c r="O38" i="5"/>
  <c r="J38" i="5"/>
  <c r="N24" i="5"/>
  <c r="J24" i="5"/>
  <c r="K24" i="5"/>
  <c r="O24" i="5"/>
  <c r="I17" i="6"/>
  <c r="L79" i="2" s="1"/>
  <c r="D79" i="2" s="1"/>
  <c r="I26" i="26" s="1"/>
  <c r="L17" i="6"/>
  <c r="H17" i="6"/>
  <c r="K17" i="6"/>
  <c r="I24" i="6"/>
  <c r="L24" i="6"/>
  <c r="K24" i="6"/>
  <c r="H24" i="6"/>
  <c r="N36" i="5"/>
  <c r="O36" i="5"/>
  <c r="J36" i="5"/>
  <c r="K36" i="5"/>
  <c r="BE4" i="15" s="1"/>
  <c r="K22" i="6"/>
  <c r="I22" i="6"/>
  <c r="H22" i="6"/>
  <c r="L22" i="6"/>
  <c r="K44" i="6"/>
  <c r="L44" i="6"/>
  <c r="I44" i="6"/>
  <c r="H44" i="6"/>
  <c r="K46" i="5"/>
  <c r="N46" i="5"/>
  <c r="O46" i="5"/>
  <c r="J46" i="5"/>
  <c r="N19" i="5"/>
  <c r="O19" i="5"/>
  <c r="J19" i="5"/>
  <c r="R19" i="5"/>
  <c r="Z5" i="15"/>
  <c r="O50" i="5"/>
  <c r="Q50" i="5"/>
  <c r="K50" i="5"/>
  <c r="N50" i="5"/>
  <c r="J50" i="5"/>
  <c r="H27" i="6"/>
  <c r="L27" i="6"/>
  <c r="K27" i="6"/>
  <c r="I27" i="6"/>
  <c r="H31" i="6"/>
  <c r="L31" i="6"/>
  <c r="I31" i="6"/>
  <c r="K31" i="6"/>
  <c r="K21" i="6"/>
  <c r="L21" i="6"/>
  <c r="H21" i="6"/>
  <c r="I21" i="6"/>
  <c r="J41" i="5"/>
  <c r="O41" i="5"/>
  <c r="N41" i="5"/>
  <c r="R41" i="5"/>
  <c r="K41" i="5"/>
  <c r="O63" i="5"/>
  <c r="J63" i="5"/>
  <c r="K63" i="5"/>
  <c r="F27" i="4" s="1"/>
  <c r="K29" i="5"/>
  <c r="J29" i="5"/>
  <c r="O29" i="5"/>
  <c r="N29" i="5"/>
  <c r="S29" i="5"/>
  <c r="I28" i="6"/>
  <c r="L28" i="6"/>
  <c r="H28" i="6"/>
  <c r="K28" i="6"/>
  <c r="H40" i="6"/>
  <c r="L40" i="6"/>
  <c r="K40" i="6"/>
  <c r="I40" i="6"/>
  <c r="H37" i="6"/>
  <c r="L37" i="6"/>
  <c r="I37" i="6"/>
  <c r="K37" i="6" s="1"/>
  <c r="Q54" i="5"/>
  <c r="K54" i="5"/>
  <c r="O54" i="5"/>
  <c r="N54" i="5"/>
  <c r="J54" i="5"/>
  <c r="O23" i="5"/>
  <c r="N23" i="5"/>
  <c r="K23" i="5"/>
  <c r="J23" i="5"/>
  <c r="K12" i="6"/>
  <c r="H12" i="6"/>
  <c r="I12" i="6"/>
  <c r="L12" i="6"/>
  <c r="O47" i="5"/>
  <c r="K47" i="5"/>
  <c r="J47" i="5"/>
  <c r="N47" i="5"/>
  <c r="S47" i="5"/>
  <c r="H11" i="6"/>
  <c r="K11" i="6"/>
  <c r="L11" i="6"/>
  <c r="I11" i="6"/>
  <c r="J31" i="5"/>
  <c r="K31" i="5"/>
  <c r="J71" i="2" s="1"/>
  <c r="D71" i="2" s="1"/>
  <c r="I32" i="13" s="1"/>
  <c r="O31" i="5"/>
  <c r="L32" i="6"/>
  <c r="K32" i="6"/>
  <c r="H32" i="6"/>
  <c r="I32" i="6"/>
  <c r="O32" i="5"/>
  <c r="J32" i="5"/>
  <c r="K32" i="5"/>
  <c r="BD4" i="15" s="1"/>
  <c r="K3" i="5"/>
  <c r="O3" i="5"/>
  <c r="J3" i="5"/>
  <c r="N3" i="5"/>
  <c r="H18" i="6"/>
  <c r="K18" i="6"/>
  <c r="I18" i="6"/>
  <c r="L18" i="6"/>
  <c r="J5" i="5"/>
  <c r="O5" i="5"/>
  <c r="K5" i="5"/>
  <c r="N5" i="5"/>
  <c r="K42" i="6"/>
  <c r="H42" i="6"/>
  <c r="L42" i="6"/>
  <c r="I42" i="6"/>
  <c r="J26" i="5"/>
  <c r="N26" i="5"/>
  <c r="O26" i="5"/>
  <c r="R26" i="5"/>
  <c r="K26" i="5"/>
  <c r="U26" i="5" s="1"/>
  <c r="K27" i="5"/>
  <c r="N27" i="5"/>
  <c r="J27" i="5"/>
  <c r="O27" i="5"/>
  <c r="O62" i="5"/>
  <c r="J62" i="5"/>
  <c r="N62" i="5"/>
  <c r="K62" i="5"/>
  <c r="K10" i="6"/>
  <c r="L10" i="6"/>
  <c r="I10" i="6"/>
  <c r="H10" i="6"/>
  <c r="K44" i="5"/>
  <c r="F29" i="3" s="1"/>
  <c r="D29" i="3" s="1"/>
  <c r="O44" i="5"/>
  <c r="J44" i="5"/>
  <c r="O60" i="5"/>
  <c r="Q60" i="5"/>
  <c r="K60" i="5"/>
  <c r="J60" i="5"/>
  <c r="N60" i="5"/>
  <c r="I36" i="6"/>
  <c r="L36" i="6"/>
  <c r="H36" i="6"/>
  <c r="K36" i="6"/>
  <c r="J34" i="5"/>
  <c r="K34" i="5"/>
  <c r="N34" i="5" s="1"/>
  <c r="O34" i="5"/>
  <c r="K16" i="5"/>
  <c r="O16" i="5"/>
  <c r="J16" i="5"/>
  <c r="N16" i="5"/>
  <c r="L23" i="6"/>
  <c r="H23" i="6"/>
  <c r="I23" i="6"/>
  <c r="K23" i="6"/>
  <c r="H3" i="6"/>
  <c r="I3" i="6"/>
  <c r="K3" i="6" s="1"/>
  <c r="L3" i="6"/>
  <c r="I5" i="6"/>
  <c r="H5" i="6"/>
  <c r="K5" i="6"/>
  <c r="L5" i="6"/>
  <c r="J51" i="5"/>
  <c r="Q51" i="5"/>
  <c r="O51" i="5"/>
  <c r="N51" i="5"/>
  <c r="K51" i="5"/>
  <c r="H35" i="6"/>
  <c r="L35" i="6"/>
  <c r="I35" i="6"/>
  <c r="K35" i="6" s="1"/>
  <c r="K52" i="5"/>
  <c r="Q52" i="5"/>
  <c r="O52" i="5"/>
  <c r="J52" i="5"/>
  <c r="N52" i="5"/>
  <c r="K49" i="5"/>
  <c r="N49" i="5"/>
  <c r="J49" i="5"/>
  <c r="O49" i="5"/>
  <c r="S49" i="5"/>
  <c r="N48" i="5"/>
  <c r="K48" i="5"/>
  <c r="D13" i="15" s="1"/>
  <c r="S48" i="5"/>
  <c r="O48" i="5"/>
  <c r="J48" i="5"/>
  <c r="O10" i="5"/>
  <c r="K10" i="5"/>
  <c r="J10" i="5"/>
  <c r="N10" i="5"/>
  <c r="I29" i="6"/>
  <c r="H29" i="6"/>
  <c r="K29" i="6"/>
  <c r="L29" i="6"/>
  <c r="K20" i="5"/>
  <c r="U20" i="5" s="1"/>
  <c r="AA3" i="15" s="1"/>
  <c r="O20" i="5"/>
  <c r="R20" i="5"/>
  <c r="J20" i="5"/>
  <c r="I46" i="6"/>
  <c r="K46" i="6" s="1"/>
  <c r="H46" i="6"/>
  <c r="L46" i="6"/>
  <c r="O22" i="5"/>
  <c r="K22" i="5"/>
  <c r="N22" i="5" s="1"/>
  <c r="J22" i="5"/>
  <c r="L41" i="6"/>
  <c r="H41" i="6"/>
  <c r="I41" i="6"/>
  <c r="K41" i="6"/>
  <c r="D60" i="24"/>
  <c r="R39" i="5"/>
  <c r="K39" i="5"/>
  <c r="J39" i="5"/>
  <c r="O39" i="5"/>
  <c r="N39" i="5"/>
  <c r="I30" i="6"/>
  <c r="K30" i="6"/>
  <c r="L30" i="6"/>
  <c r="H30" i="6"/>
  <c r="K67" i="5"/>
  <c r="N67" i="5" s="1"/>
  <c r="E13" i="3"/>
  <c r="F13" i="3" s="1"/>
  <c r="J67" i="5"/>
  <c r="O67" i="5"/>
  <c r="I43" i="6"/>
  <c r="H43" i="6"/>
  <c r="L43" i="6"/>
  <c r="K43" i="6"/>
  <c r="I13" i="6"/>
  <c r="K13" i="6" s="1"/>
  <c r="H13" i="6"/>
  <c r="L13" i="6"/>
  <c r="O15" i="5"/>
  <c r="J15" i="5"/>
  <c r="K15" i="5"/>
  <c r="N15" i="5" s="1"/>
  <c r="I20" i="6"/>
  <c r="K20" i="6"/>
  <c r="L20" i="6"/>
  <c r="H20" i="6"/>
  <c r="K53" i="5"/>
  <c r="Q53" i="5"/>
  <c r="O53" i="5"/>
  <c r="N53" i="5"/>
  <c r="J53" i="5"/>
  <c r="I19" i="6"/>
  <c r="L19" i="6"/>
  <c r="K19" i="6"/>
  <c r="H19" i="6"/>
  <c r="J21" i="5"/>
  <c r="O21" i="5"/>
  <c r="K21" i="5"/>
  <c r="N21" i="5"/>
  <c r="O30" i="5"/>
  <c r="N30" i="5"/>
  <c r="J30" i="5"/>
  <c r="K30" i="5"/>
  <c r="T30" i="5"/>
  <c r="T1" i="5" s="1"/>
  <c r="I26" i="6"/>
  <c r="L26" i="6"/>
  <c r="K26" i="6"/>
  <c r="H26" i="6"/>
  <c r="N35" i="5"/>
  <c r="J35" i="5"/>
  <c r="K35" i="5"/>
  <c r="O35" i="5"/>
  <c r="N40" i="5"/>
  <c r="K40" i="5"/>
  <c r="R40" i="5"/>
  <c r="O40" i="5"/>
  <c r="J40" i="5"/>
  <c r="I4" i="6"/>
  <c r="K4" i="6"/>
  <c r="L4" i="6"/>
  <c r="H4" i="6"/>
  <c r="K25" i="6"/>
  <c r="I25" i="6"/>
  <c r="L25" i="6"/>
  <c r="H25" i="6"/>
  <c r="O43" i="5"/>
  <c r="J43" i="5"/>
  <c r="R43" i="5"/>
  <c r="N43" i="5"/>
  <c r="K43" i="5"/>
  <c r="D6" i="15" s="1"/>
  <c r="I38" i="6"/>
  <c r="H38" i="6"/>
  <c r="K38" i="6"/>
  <c r="L38" i="6"/>
  <c r="O28" i="5"/>
  <c r="J28" i="5"/>
  <c r="K28" i="5"/>
  <c r="N28" i="5" s="1"/>
  <c r="N25" i="5"/>
  <c r="O25" i="5"/>
  <c r="J25" i="5"/>
  <c r="K25" i="5"/>
  <c r="J64" i="5"/>
  <c r="K64" i="5"/>
  <c r="F28" i="4" s="1"/>
  <c r="N64" i="5"/>
  <c r="O64" i="5"/>
  <c r="I45" i="6"/>
  <c r="AI13" i="15" s="1"/>
  <c r="K45" i="6"/>
  <c r="L45" i="6"/>
  <c r="H45" i="6"/>
  <c r="K18" i="5"/>
  <c r="O18" i="5"/>
  <c r="J18" i="5"/>
  <c r="AC3" i="15" l="1"/>
  <c r="AB5" i="15"/>
  <c r="AB3" i="15"/>
  <c r="N31" i="5"/>
  <c r="BF4" i="15"/>
  <c r="N20" i="5"/>
  <c r="AG3" i="15"/>
  <c r="AD3" i="15"/>
  <c r="D4" i="15"/>
  <c r="BD3" i="15"/>
  <c r="BD6" i="15"/>
  <c r="W4" i="15"/>
  <c r="U36" i="5"/>
  <c r="BE6" i="15" s="1"/>
  <c r="N32" i="5"/>
  <c r="U32" i="5"/>
  <c r="AC5" i="15"/>
  <c r="D3" i="15"/>
  <c r="D5" i="15"/>
  <c r="R38" i="5"/>
  <c r="R44" i="5"/>
  <c r="O4" i="26"/>
  <c r="J40" i="2"/>
  <c r="D40" i="2" s="1"/>
  <c r="C10" i="26" s="1"/>
  <c r="J38" i="2"/>
  <c r="D38" i="2" s="1"/>
  <c r="C8" i="26" s="1"/>
  <c r="J39" i="2"/>
  <c r="D39" i="2" s="1"/>
  <c r="C9" i="26" s="1"/>
  <c r="J37" i="2"/>
  <c r="D37" i="2" s="1"/>
  <c r="C7" i="26" s="1"/>
  <c r="Q13" i="15"/>
  <c r="G40" i="3"/>
  <c r="D40" i="3" s="1"/>
  <c r="D17" i="15"/>
  <c r="G41" i="3"/>
  <c r="D41" i="3" s="1"/>
  <c r="O3" i="26"/>
  <c r="J35" i="2"/>
  <c r="D35" i="2" s="1"/>
  <c r="D16" i="3"/>
  <c r="O14" i="26"/>
  <c r="L59" i="2"/>
  <c r="D59" i="2" s="1"/>
  <c r="I10" i="26" s="1"/>
  <c r="O2" i="26"/>
  <c r="J32" i="2"/>
  <c r="D32" i="2" s="1"/>
  <c r="N38" i="5"/>
  <c r="O5" i="26"/>
  <c r="J45" i="2"/>
  <c r="D45" i="2" s="1"/>
  <c r="F5" i="26" s="1"/>
  <c r="F32" i="3"/>
  <c r="D32" i="3" s="1"/>
  <c r="J44" i="2"/>
  <c r="D44" i="2" s="1"/>
  <c r="F4" i="26" s="1"/>
  <c r="J42" i="2"/>
  <c r="D42" i="2" s="1"/>
  <c r="F2" i="26" s="1"/>
  <c r="J67" i="2"/>
  <c r="D67" i="2" s="1"/>
  <c r="L8" i="26" s="1"/>
  <c r="E13" i="15"/>
  <c r="J43" i="2"/>
  <c r="D43" i="2" s="1"/>
  <c r="F3" i="26" s="1"/>
  <c r="J63" i="2"/>
  <c r="D63" i="2" s="1"/>
  <c r="L4" i="26" s="1"/>
  <c r="J62" i="2"/>
  <c r="D62" i="2" s="1"/>
  <c r="L3" i="26" s="1"/>
  <c r="J61" i="2"/>
  <c r="D61" i="2" s="1"/>
  <c r="L2" i="26" s="1"/>
  <c r="O10" i="26"/>
  <c r="J56" i="2"/>
  <c r="D56" i="2" s="1"/>
  <c r="I7" i="26" s="1"/>
  <c r="O9" i="26"/>
  <c r="D29" i="4"/>
  <c r="C6" i="24"/>
  <c r="D6" i="24" s="1"/>
  <c r="C7" i="24"/>
  <c r="D7" i="24" s="1"/>
  <c r="L30" i="13"/>
  <c r="M31" i="26" s="1"/>
  <c r="O15" i="26"/>
  <c r="L66" i="2"/>
  <c r="D66" i="2" s="1"/>
  <c r="L7" i="26" s="1"/>
  <c r="N63" i="5"/>
  <c r="J64" i="2"/>
  <c r="D64" i="2" s="1"/>
  <c r="L5" i="26" s="1"/>
  <c r="O11" i="26"/>
  <c r="N18" i="5"/>
  <c r="D27" i="4"/>
  <c r="C2" i="24"/>
  <c r="D2" i="24" s="1"/>
  <c r="C3" i="24"/>
  <c r="D3" i="24" s="1"/>
  <c r="C8" i="24"/>
  <c r="D8" i="24" s="1"/>
  <c r="D30" i="4"/>
  <c r="C9" i="24"/>
  <c r="D9" i="24" s="1"/>
  <c r="J48" i="2"/>
  <c r="D48" i="2" s="1"/>
  <c r="F8" i="26" s="1"/>
  <c r="O7" i="26"/>
  <c r="J50" i="2"/>
  <c r="D50" i="2" s="1"/>
  <c r="F10" i="26" s="1"/>
  <c r="J49" i="2"/>
  <c r="D49" i="2" s="1"/>
  <c r="F9" i="26" s="1"/>
  <c r="L57" i="2"/>
  <c r="D57" i="2" s="1"/>
  <c r="I8" i="26" s="1"/>
  <c r="O13" i="26"/>
  <c r="K1" i="6"/>
  <c r="B33" i="19" s="1"/>
  <c r="J53" i="2"/>
  <c r="D53" i="2" s="1"/>
  <c r="I3" i="26" s="1"/>
  <c r="O8" i="26"/>
  <c r="J54" i="2"/>
  <c r="D54" i="2" s="1"/>
  <c r="I4" i="26" s="1"/>
  <c r="J52" i="2"/>
  <c r="D52" i="2" s="1"/>
  <c r="I2" i="26" s="1"/>
  <c r="D17" i="4"/>
  <c r="D18" i="4" s="1"/>
  <c r="Q57" i="5"/>
  <c r="Q1" i="5" s="1"/>
  <c r="B42" i="19" s="1"/>
  <c r="B9" i="13" s="1"/>
  <c r="D28" i="4"/>
  <c r="C4" i="24"/>
  <c r="D4" i="24" s="1"/>
  <c r="C5" i="24"/>
  <c r="D5" i="24" s="1"/>
  <c r="D26" i="4"/>
  <c r="D23" i="4"/>
  <c r="D22" i="4"/>
  <c r="E22" i="4" s="1"/>
  <c r="D25" i="4"/>
  <c r="D24" i="4"/>
  <c r="L1" i="6"/>
  <c r="N44" i="5"/>
  <c r="O1" i="5"/>
  <c r="S1" i="5"/>
  <c r="O12" i="26"/>
  <c r="L33" i="2"/>
  <c r="D33" i="2" s="1"/>
  <c r="L34" i="2"/>
  <c r="D34" i="2" s="1"/>
  <c r="F14" i="3"/>
  <c r="F28" i="3"/>
  <c r="D28" i="3" s="1"/>
  <c r="N8" i="5"/>
  <c r="E21" i="4"/>
  <c r="L69" i="2"/>
  <c r="D69" i="2" s="1"/>
  <c r="L10" i="26" s="1"/>
  <c r="L68" i="2"/>
  <c r="D68" i="2" s="1"/>
  <c r="L9" i="26" s="1"/>
  <c r="O6" i="26"/>
  <c r="J47" i="2"/>
  <c r="D47" i="2" s="1"/>
  <c r="F7" i="26" s="1"/>
  <c r="B17" i="19" l="1"/>
  <c r="B23" i="26" s="1"/>
  <c r="B18" i="19"/>
  <c r="BF6" i="15"/>
  <c r="W6" i="15" s="1"/>
  <c r="R1" i="5"/>
  <c r="W5" i="15"/>
  <c r="BE3" i="15"/>
  <c r="BF3" i="15" s="1"/>
  <c r="W3" i="15" s="1"/>
  <c r="AG5" i="15"/>
  <c r="AG1" i="15" s="1"/>
  <c r="AD5" i="15"/>
  <c r="N1" i="5"/>
  <c r="B31" i="19" s="1"/>
  <c r="B33" i="13"/>
  <c r="B34" i="26" s="1"/>
  <c r="E23" i="4"/>
  <c r="C128" i="24"/>
  <c r="D128" i="24" s="1"/>
  <c r="D21" i="4"/>
  <c r="C130" i="24"/>
  <c r="D130" i="24" s="1"/>
  <c r="B5" i="19"/>
  <c r="C2" i="26"/>
  <c r="F32" i="13"/>
  <c r="V17" i="15"/>
  <c r="W17" i="15"/>
  <c r="V1" i="5"/>
  <c r="W1" i="5"/>
  <c r="X1" i="5"/>
  <c r="U1" i="5"/>
  <c r="S13" i="15"/>
  <c r="L27" i="13" s="1"/>
  <c r="R13" i="15"/>
  <c r="N1" i="6"/>
  <c r="M1" i="6"/>
  <c r="E34" i="3"/>
  <c r="D34" i="3" s="1"/>
  <c r="E35" i="3"/>
  <c r="D35" i="3" s="1"/>
  <c r="E36" i="3"/>
  <c r="D36" i="3" s="1"/>
  <c r="F34" i="13"/>
  <c r="C4" i="26"/>
  <c r="B13" i="19"/>
  <c r="C5" i="26"/>
  <c r="F35" i="13"/>
  <c r="C3" i="26"/>
  <c r="F33" i="13"/>
  <c r="D43" i="3"/>
  <c r="V3" i="15" l="1"/>
  <c r="G65" i="3"/>
  <c r="F46" i="3"/>
  <c r="G85" i="3"/>
  <c r="G67" i="3"/>
  <c r="G52" i="3"/>
  <c r="G51" i="3"/>
  <c r="G47" i="3"/>
  <c r="G50" i="3"/>
  <c r="G49" i="3"/>
  <c r="G48" i="3"/>
  <c r="G46" i="3"/>
  <c r="G66" i="3"/>
  <c r="G64" i="3"/>
  <c r="G69" i="3"/>
  <c r="G68" i="3"/>
  <c r="G70" i="3"/>
  <c r="G83" i="3"/>
  <c r="G88" i="3"/>
  <c r="G82" i="3"/>
  <c r="G86" i="3"/>
  <c r="G87" i="3"/>
  <c r="G84" i="3"/>
  <c r="F50" i="3"/>
  <c r="F52" i="3"/>
  <c r="F51" i="3"/>
  <c r="F49" i="3"/>
  <c r="F48" i="3"/>
  <c r="F47" i="3"/>
  <c r="F67" i="3"/>
  <c r="F84" i="3"/>
  <c r="F68" i="3"/>
  <c r="F69" i="3"/>
  <c r="F83" i="3"/>
  <c r="D90" i="3" s="1"/>
  <c r="F65" i="3"/>
  <c r="F70" i="3"/>
  <c r="F86" i="3"/>
  <c r="F66" i="3"/>
  <c r="F64" i="3"/>
  <c r="F82" i="3"/>
  <c r="F88" i="3"/>
  <c r="F87" i="3"/>
  <c r="F85" i="3"/>
  <c r="D1" i="24"/>
  <c r="V1" i="15"/>
  <c r="B49" i="19" s="1"/>
  <c r="B14" i="13" s="1"/>
  <c r="W1" i="15"/>
  <c r="W13" i="15"/>
  <c r="V13" i="15"/>
  <c r="B55" i="19" s="1"/>
  <c r="B19" i="13" s="1"/>
  <c r="D38" i="3"/>
  <c r="M29" i="26"/>
  <c r="B12" i="19"/>
  <c r="B22" i="13"/>
  <c r="B23" i="13"/>
  <c r="B24" i="26"/>
  <c r="B19" i="19"/>
  <c r="E24" i="4"/>
  <c r="L25" i="13" s="1"/>
  <c r="D58" i="3" l="1"/>
  <c r="D54" i="3"/>
  <c r="D53" i="3"/>
  <c r="D73" i="3"/>
  <c r="D93" i="3"/>
  <c r="D75" i="3"/>
  <c r="D91" i="3"/>
  <c r="D74" i="3"/>
  <c r="D77" i="3"/>
  <c r="D55" i="3"/>
  <c r="D92" i="3"/>
  <c r="D72" i="3"/>
  <c r="D56" i="3"/>
  <c r="D94" i="3"/>
  <c r="D89" i="3"/>
  <c r="D57" i="3"/>
  <c r="D71" i="3"/>
  <c r="D95" i="3"/>
  <c r="D76" i="3"/>
  <c r="D59" i="3"/>
  <c r="L26" i="13"/>
  <c r="B11" i="19" s="1"/>
  <c r="M27" i="26"/>
  <c r="N28" i="13"/>
  <c r="E25" i="4"/>
  <c r="B20" i="19"/>
  <c r="B25" i="26"/>
  <c r="B24" i="13"/>
  <c r="D78" i="3" l="1"/>
  <c r="B17" i="26" s="1"/>
  <c r="D79" i="3"/>
  <c r="D60" i="3"/>
  <c r="B16" i="26" s="1"/>
  <c r="D96" i="3"/>
  <c r="B18" i="26" s="1"/>
  <c r="D97" i="3"/>
  <c r="D61" i="3"/>
  <c r="L32" i="13"/>
  <c r="M33" i="26" s="1"/>
  <c r="M28" i="26"/>
  <c r="B26" i="26"/>
  <c r="B25" i="13"/>
  <c r="B21" i="19"/>
  <c r="E26" i="4"/>
  <c r="B27" i="26" l="1"/>
  <c r="B26" i="13"/>
  <c r="B2" i="1"/>
</calcChain>
</file>

<file path=xl/sharedStrings.xml><?xml version="1.0" encoding="utf-8"?>
<sst xmlns="http://schemas.openxmlformats.org/spreadsheetml/2006/main" count="7047" uniqueCount="2215">
  <si>
    <t>初期因果点</t>
    <rPh sb="0" eb="2">
      <t>ショキ</t>
    </rPh>
    <rPh sb="2" eb="4">
      <t>インガ</t>
    </rPh>
    <rPh sb="4" eb="5">
      <t>テン</t>
    </rPh>
    <phoneticPr fontId="2"/>
  </si>
  <si>
    <t>絞り込み1</t>
    <rPh sb="0" eb="1">
      <t>シボ</t>
    </rPh>
    <rPh sb="2" eb="3">
      <t>コ</t>
    </rPh>
    <phoneticPr fontId="2"/>
  </si>
  <si>
    <t>名前</t>
    <rPh sb="0" eb="2">
      <t>ナマエ</t>
    </rPh>
    <phoneticPr fontId="2"/>
  </si>
  <si>
    <t>種族</t>
    <rPh sb="0" eb="2">
      <t>シュゾク</t>
    </rPh>
    <phoneticPr fontId="2"/>
  </si>
  <si>
    <t>只人</t>
    <rPh sb="0" eb="1">
      <t>タダ</t>
    </rPh>
    <rPh sb="1" eb="2">
      <t>ビト</t>
    </rPh>
    <phoneticPr fontId="2"/>
  </si>
  <si>
    <t>年齢</t>
    <rPh sb="0" eb="2">
      <t>ネンレイ</t>
    </rPh>
    <phoneticPr fontId="2"/>
  </si>
  <si>
    <t>性別</t>
    <rPh sb="0" eb="2">
      <t>セイベツ</t>
    </rPh>
    <phoneticPr fontId="2"/>
  </si>
  <si>
    <t>男性</t>
    <rPh sb="0" eb="2">
      <t>ダンセイ</t>
    </rPh>
    <phoneticPr fontId="2"/>
  </si>
  <si>
    <t>経歴／出自の出目(2d6)</t>
    <rPh sb="0" eb="2">
      <t>ケイレキ</t>
    </rPh>
    <rPh sb="3" eb="5">
      <t>シュツジ</t>
    </rPh>
    <rPh sb="6" eb="8">
      <t>デメ</t>
    </rPh>
    <phoneticPr fontId="2"/>
  </si>
  <si>
    <t>経歴／来歴の出目(2d6)</t>
    <rPh sb="0" eb="2">
      <t>ケイレキ</t>
    </rPh>
    <rPh sb="3" eb="5">
      <t>ライレキ</t>
    </rPh>
    <rPh sb="6" eb="8">
      <t>デメ</t>
    </rPh>
    <phoneticPr fontId="2"/>
  </si>
  <si>
    <t>経歴／邂逅の出目(2d6)</t>
    <rPh sb="0" eb="2">
      <t>ケイレキ</t>
    </rPh>
    <rPh sb="3" eb="5">
      <t>カイコウ</t>
    </rPh>
    <rPh sb="6" eb="8">
      <t>デメ</t>
    </rPh>
    <phoneticPr fontId="2"/>
  </si>
  <si>
    <t>等級</t>
    <rPh sb="0" eb="2">
      <t>トウキュウ</t>
    </rPh>
    <phoneticPr fontId="2"/>
  </si>
  <si>
    <t>黒曜等級</t>
    <rPh sb="0" eb="2">
      <t>コクヨウ</t>
    </rPh>
    <rPh sb="2" eb="4">
      <t>トウキュウ</t>
    </rPh>
    <phoneticPr fontId="2"/>
  </si>
  <si>
    <t>身体的特徴</t>
    <rPh sb="0" eb="3">
      <t>シンタイテキ</t>
    </rPh>
    <rPh sb="3" eb="5">
      <t>トクチョウ</t>
    </rPh>
    <phoneticPr fontId="2"/>
  </si>
  <si>
    <t>身体的特徴／髪</t>
    <rPh sb="0" eb="3">
      <t>シンタイテキ</t>
    </rPh>
    <rPh sb="3" eb="5">
      <t>トクチョウ</t>
    </rPh>
    <rPh sb="6" eb="7">
      <t>カミ</t>
    </rPh>
    <phoneticPr fontId="2"/>
  </si>
  <si>
    <t>身体的特徴／瞳</t>
    <rPh sb="0" eb="3">
      <t>シンタイテキ</t>
    </rPh>
    <rPh sb="3" eb="5">
      <t>トクチョウ</t>
    </rPh>
    <rPh sb="6" eb="7">
      <t>ヒトミ</t>
    </rPh>
    <phoneticPr fontId="2"/>
  </si>
  <si>
    <t>冒険者になった動機の1回目の出目(1d6で1,2-3,4-5,6)</t>
    <rPh sb="0" eb="3">
      <t>ボウケンシャ</t>
    </rPh>
    <rPh sb="7" eb="9">
      <t>ドウキ</t>
    </rPh>
    <rPh sb="11" eb="13">
      <t>カイメ</t>
    </rPh>
    <rPh sb="14" eb="16">
      <t>デメ</t>
    </rPh>
    <phoneticPr fontId="2"/>
  </si>
  <si>
    <t>冒険者になった動機の2回目の出目(1d6)</t>
    <rPh sb="0" eb="3">
      <t>ボウケンシャ</t>
    </rPh>
    <rPh sb="7" eb="9">
      <t>ドウキ</t>
    </rPh>
    <rPh sb="11" eb="13">
      <t>カイメ</t>
    </rPh>
    <rPh sb="14" eb="16">
      <t>デメ</t>
    </rPh>
    <phoneticPr fontId="2"/>
  </si>
  <si>
    <t>設定</t>
    <rPh sb="0" eb="2">
      <t>セッテイ</t>
    </rPh>
    <phoneticPr fontId="2"/>
  </si>
  <si>
    <t>信仰</t>
    <rPh sb="0" eb="2">
      <t>シンコウ</t>
    </rPh>
    <phoneticPr fontId="2"/>
  </si>
  <si>
    <t>なし</t>
  </si>
  <si>
    <t>能力値タイプ</t>
    <rPh sb="0" eb="3">
      <t>ノウリョクチ</t>
    </rPh>
    <phoneticPr fontId="2"/>
  </si>
  <si>
    <t>固定値</t>
    <rPh sb="0" eb="3">
      <t>コテイチ</t>
    </rPh>
    <phoneticPr fontId="2"/>
  </si>
  <si>
    <t>状態／2D6(1回目)</t>
    <rPh sb="0" eb="2">
      <t>ジョウタイ</t>
    </rPh>
    <rPh sb="8" eb="10">
      <t>カイメ</t>
    </rPh>
    <phoneticPr fontId="2"/>
  </si>
  <si>
    <t>状態／2D6(2回目)</t>
    <rPh sb="0" eb="2">
      <t>ジョウタイ</t>
    </rPh>
    <rPh sb="8" eb="10">
      <t>カイメ</t>
    </rPh>
    <phoneticPr fontId="2"/>
  </si>
  <si>
    <t>状態／2D6(3回目)</t>
    <rPh sb="0" eb="2">
      <t>ジョウタイ</t>
    </rPh>
    <rPh sb="8" eb="10">
      <t>カイメ</t>
    </rPh>
    <phoneticPr fontId="2"/>
  </si>
  <si>
    <t>状態タイプ</t>
    <rPh sb="0" eb="2">
      <t>ジョウタイ</t>
    </rPh>
    <phoneticPr fontId="2"/>
  </si>
  <si>
    <t>体力点(ランダム)</t>
    <rPh sb="0" eb="2">
      <t>タイリョク</t>
    </rPh>
    <rPh sb="2" eb="3">
      <t>テン</t>
    </rPh>
    <phoneticPr fontId="2"/>
  </si>
  <si>
    <t>魂魄点(ランダム)</t>
    <rPh sb="0" eb="2">
      <t>コンパク</t>
    </rPh>
    <rPh sb="2" eb="3">
      <t>テン</t>
    </rPh>
    <phoneticPr fontId="2"/>
  </si>
  <si>
    <t>技量点(ランダム)</t>
    <rPh sb="0" eb="2">
      <t>ギリョウ</t>
    </rPh>
    <rPh sb="2" eb="3">
      <t>テン</t>
    </rPh>
    <phoneticPr fontId="2"/>
  </si>
  <si>
    <t>知力点(ランダム)</t>
    <rPh sb="0" eb="2">
      <t>チリョク</t>
    </rPh>
    <rPh sb="2" eb="3">
      <t>テン</t>
    </rPh>
    <phoneticPr fontId="2"/>
  </si>
  <si>
    <t>集中度(ランダム)</t>
    <rPh sb="0" eb="3">
      <t>シュウチュウド</t>
    </rPh>
    <phoneticPr fontId="2"/>
  </si>
  <si>
    <t>持久度(ランダム)</t>
    <rPh sb="0" eb="2">
      <t>ジキュウ</t>
    </rPh>
    <rPh sb="2" eb="3">
      <t>ド</t>
    </rPh>
    <phoneticPr fontId="2"/>
  </si>
  <si>
    <t>反射度(ランダム)</t>
    <rPh sb="0" eb="2">
      <t>ハンシャ</t>
    </rPh>
    <rPh sb="2" eb="3">
      <t>ド</t>
    </rPh>
    <phoneticPr fontId="2"/>
  </si>
  <si>
    <t>能力値ボーナス</t>
    <rPh sb="0" eb="3">
      <t>ノウリョクチ</t>
    </rPh>
    <phoneticPr fontId="2"/>
  </si>
  <si>
    <t>知力点</t>
    <rPh sb="0" eb="2">
      <t>チリョク</t>
    </rPh>
    <rPh sb="2" eb="3">
      <t>テン</t>
    </rPh>
    <phoneticPr fontId="2"/>
  </si>
  <si>
    <t>生命力基本値</t>
    <rPh sb="0" eb="2">
      <t>セイメイ</t>
    </rPh>
    <rPh sb="2" eb="3">
      <t>リョク</t>
    </rPh>
    <rPh sb="3" eb="5">
      <t>キホン</t>
    </rPh>
    <rPh sb="5" eb="6">
      <t>チ</t>
    </rPh>
    <phoneticPr fontId="2"/>
  </si>
  <si>
    <t>移動力基本値</t>
    <rPh sb="0" eb="2">
      <t>イドウ</t>
    </rPh>
    <rPh sb="2" eb="3">
      <t>リョク</t>
    </rPh>
    <rPh sb="3" eb="5">
      <t>キホン</t>
    </rPh>
    <rPh sb="5" eb="6">
      <t>チ</t>
    </rPh>
    <phoneticPr fontId="2"/>
  </si>
  <si>
    <t>呪文使用回数基本値</t>
    <rPh sb="0" eb="2">
      <t>ジュモン</t>
    </rPh>
    <rPh sb="2" eb="4">
      <t>シヨウ</t>
    </rPh>
    <rPh sb="4" eb="6">
      <t>カイスウ</t>
    </rPh>
    <rPh sb="6" eb="8">
      <t>キホン</t>
    </rPh>
    <rPh sb="8" eb="9">
      <t>チ</t>
    </rPh>
    <phoneticPr fontId="2"/>
  </si>
  <si>
    <t>冒険者職業レベル出自ボーナス</t>
    <rPh sb="0" eb="3">
      <t>ボウケンシャ</t>
    </rPh>
    <rPh sb="3" eb="5">
      <t>ショクギョウ</t>
    </rPh>
    <rPh sb="8" eb="10">
      <t>シュツジ</t>
    </rPh>
    <phoneticPr fontId="2"/>
  </si>
  <si>
    <t>精霊使い(出自ボーナス)</t>
  </si>
  <si>
    <t>技能出自ボーナス(1)</t>
    <rPh sb="0" eb="2">
      <t>ギノウ</t>
    </rPh>
    <rPh sb="2" eb="4">
      <t>シュツジ</t>
    </rPh>
    <phoneticPr fontId="2"/>
  </si>
  <si>
    <t>瞑想：初歩</t>
  </si>
  <si>
    <t>技能出自ボーナス(2)</t>
    <rPh sb="0" eb="2">
      <t>ギノウ</t>
    </rPh>
    <rPh sb="2" eb="4">
      <t>シュツジ</t>
    </rPh>
    <phoneticPr fontId="2"/>
  </si>
  <si>
    <t>技能来歴ボーナス</t>
    <rPh sb="0" eb="2">
      <t>ギノウ</t>
    </rPh>
    <rPh sb="2" eb="4">
      <t>ライレキ</t>
    </rPh>
    <phoneticPr fontId="2"/>
  </si>
  <si>
    <t>沈着冷静：初歩</t>
  </si>
  <si>
    <t>所持冒険者職業レベル(1)</t>
    <rPh sb="0" eb="2">
      <t>ショジ</t>
    </rPh>
    <rPh sb="2" eb="5">
      <t>ボウケンシャ</t>
    </rPh>
    <rPh sb="5" eb="7">
      <t>ショクギョウ</t>
    </rPh>
    <phoneticPr fontId="2"/>
  </si>
  <si>
    <t>戦士：3</t>
  </si>
  <si>
    <t>冒険者職業絞り込みなし</t>
    <phoneticPr fontId="2"/>
  </si>
  <si>
    <t>所持冒険者職業レベル(2)</t>
    <rPh sb="0" eb="2">
      <t>ショジ</t>
    </rPh>
    <rPh sb="2" eb="5">
      <t>ボウケンシャ</t>
    </rPh>
    <rPh sb="5" eb="7">
      <t>ショクギョウ</t>
    </rPh>
    <phoneticPr fontId="2"/>
  </si>
  <si>
    <t>魔術師：4</t>
  </si>
  <si>
    <t>所持冒険者職業レベル(3)</t>
    <rPh sb="0" eb="2">
      <t>ショジ</t>
    </rPh>
    <rPh sb="2" eb="5">
      <t>ボウケンシャ</t>
    </rPh>
    <rPh sb="5" eb="7">
      <t>ショクギョウ</t>
    </rPh>
    <phoneticPr fontId="2"/>
  </si>
  <si>
    <t>冒険者職業絞り込みなし</t>
  </si>
  <si>
    <t>所持冒険者職業レベル(4)</t>
    <rPh sb="0" eb="2">
      <t>ショジ</t>
    </rPh>
    <rPh sb="2" eb="5">
      <t>ボウケンシャ</t>
    </rPh>
    <rPh sb="5" eb="7">
      <t>ショクギョウ</t>
    </rPh>
    <phoneticPr fontId="2"/>
  </si>
  <si>
    <t>所持冒険者職業レベル(5)</t>
    <rPh sb="0" eb="2">
      <t>ショジ</t>
    </rPh>
    <rPh sb="2" eb="5">
      <t>ボウケンシャ</t>
    </rPh>
    <rPh sb="5" eb="7">
      <t>ショクギョウ</t>
    </rPh>
    <phoneticPr fontId="2"/>
  </si>
  <si>
    <t>追加成長点</t>
    <rPh sb="0" eb="2">
      <t>ツイカ</t>
    </rPh>
    <rPh sb="2" eb="4">
      <t>セイチョウ</t>
    </rPh>
    <rPh sb="4" eb="5">
      <t>テン</t>
    </rPh>
    <phoneticPr fontId="2"/>
  </si>
  <si>
    <t>習得呪文(1)</t>
  </si>
  <si>
    <t>火与</t>
    <rPh sb="0" eb="1">
      <t>ヒ</t>
    </rPh>
    <rPh sb="1" eb="2">
      <t>アタ</t>
    </rPh>
    <phoneticPr fontId="2"/>
  </si>
  <si>
    <t>種別絞り込みなし</t>
    <rPh sb="0" eb="2">
      <t>シュベツ</t>
    </rPh>
    <rPh sb="2" eb="3">
      <t>シボ</t>
    </rPh>
    <rPh sb="4" eb="5">
      <t>コ</t>
    </rPh>
    <phoneticPr fontId="2"/>
  </si>
  <si>
    <t>習得呪文(2)</t>
  </si>
  <si>
    <t>抗魔</t>
    <rPh sb="0" eb="1">
      <t>コウ</t>
    </rPh>
    <rPh sb="1" eb="2">
      <t>マ</t>
    </rPh>
    <phoneticPr fontId="2"/>
  </si>
  <si>
    <t>習得呪文(3)</t>
  </si>
  <si>
    <t>習得呪文(4)</t>
  </si>
  <si>
    <t>習得呪文(5)</t>
  </si>
  <si>
    <t>加速</t>
    <rPh sb="0" eb="2">
      <t>カソク</t>
    </rPh>
    <phoneticPr fontId="2"/>
  </si>
  <si>
    <t>習得呪文(6)</t>
  </si>
  <si>
    <t>習得呪文(7)</t>
  </si>
  <si>
    <t>降下</t>
    <rPh sb="0" eb="2">
      <t>コウカ</t>
    </rPh>
    <phoneticPr fontId="2"/>
  </si>
  <si>
    <t>習得呪文(8)</t>
  </si>
  <si>
    <t>習得呪文(9)</t>
  </si>
  <si>
    <t>習得呪文(10)</t>
  </si>
  <si>
    <t>習得技能(1)</t>
  </si>
  <si>
    <t>武器：両手剣：習熟</t>
  </si>
  <si>
    <t>技能絞り込みなし</t>
    <rPh sb="0" eb="2">
      <t>ギノウ</t>
    </rPh>
    <rPh sb="2" eb="3">
      <t>シボ</t>
    </rPh>
    <rPh sb="4" eb="5">
      <t>コ</t>
    </rPh>
    <phoneticPr fontId="2"/>
  </si>
  <si>
    <t>習得技能(2)</t>
  </si>
  <si>
    <t>斬落攻撃：初歩</t>
  </si>
  <si>
    <t>習得技能(3)</t>
  </si>
  <si>
    <t>薙ぎ払い：初歩</t>
  </si>
  <si>
    <t>習得技能(4)</t>
  </si>
  <si>
    <t>呪文追加：真言呪文：初歩</t>
  </si>
  <si>
    <t>習得技能(5)</t>
  </si>
  <si>
    <t>呪文熟達：付与呪文：初歩</t>
  </si>
  <si>
    <t>習得技能(6)</t>
  </si>
  <si>
    <t>魔法の才：初歩</t>
  </si>
  <si>
    <t>習得技能(7)</t>
  </si>
  <si>
    <t>習得技能(8)</t>
  </si>
  <si>
    <t>労働：初歩</t>
  </si>
  <si>
    <t>習得技能(9)</t>
  </si>
  <si>
    <t>機先：初歩</t>
  </si>
  <si>
    <t>習得技能(10)</t>
  </si>
  <si>
    <t>習得技能(11)</t>
  </si>
  <si>
    <t>習得技能(12)</t>
  </si>
  <si>
    <t>習得技能(13)</t>
  </si>
  <si>
    <t>習得技能(14)</t>
  </si>
  <si>
    <t>習得技能(15)</t>
  </si>
  <si>
    <t>習得技能(16)</t>
  </si>
  <si>
    <t>習得技能(17)</t>
  </si>
  <si>
    <t>習得技能(18)</t>
  </si>
  <si>
    <t>習得技能(19)</t>
  </si>
  <si>
    <t>習得技能(20)</t>
  </si>
  <si>
    <t>習得技能(21)</t>
  </si>
  <si>
    <t>習得技能(22)</t>
  </si>
  <si>
    <t>習得技能(23)</t>
  </si>
  <si>
    <t>習得技能(24)</t>
  </si>
  <si>
    <t>武器(1)</t>
    <rPh sb="0" eb="2">
      <t>ブキ</t>
    </rPh>
    <phoneticPr fontId="2"/>
  </si>
  <si>
    <t>湾刀</t>
    <rPh sb="0" eb="1">
      <t>ワン</t>
    </rPh>
    <rPh sb="1" eb="2">
      <t>カタナ</t>
    </rPh>
    <phoneticPr fontId="2"/>
  </si>
  <si>
    <t>武器種別絞り込みなし</t>
    <rPh sb="0" eb="2">
      <t>ブキ</t>
    </rPh>
    <rPh sb="2" eb="4">
      <t>シュベツ</t>
    </rPh>
    <rPh sb="4" eb="5">
      <t>シボ</t>
    </rPh>
    <rPh sb="6" eb="7">
      <t>コ</t>
    </rPh>
    <phoneticPr fontId="2"/>
  </si>
  <si>
    <t>武器(1)の使用近接職</t>
    <rPh sb="0" eb="2">
      <t>ブキ</t>
    </rPh>
    <rPh sb="10" eb="11">
      <t>ショク</t>
    </rPh>
    <phoneticPr fontId="2"/>
  </si>
  <si>
    <t>戦士</t>
    <rPh sb="0" eb="2">
      <t>センシ</t>
    </rPh>
    <phoneticPr fontId="2"/>
  </si>
  <si>
    <t>武器(2)</t>
    <rPh sb="0" eb="2">
      <t>ブキ</t>
    </rPh>
    <phoneticPr fontId="2"/>
  </si>
  <si>
    <t>邪紋の短剣（＋２）</t>
    <rPh sb="0" eb="2">
      <t>ジャモン</t>
    </rPh>
    <rPh sb="3" eb="5">
      <t>タンケン</t>
    </rPh>
    <phoneticPr fontId="2"/>
  </si>
  <si>
    <t>武器(2)の使用近接職</t>
    <rPh sb="0" eb="2">
      <t>ブキ</t>
    </rPh>
    <rPh sb="10" eb="11">
      <t>ショク</t>
    </rPh>
    <phoneticPr fontId="2"/>
  </si>
  <si>
    <t>武器(3)</t>
    <rPh sb="0" eb="2">
      <t>ブキ</t>
    </rPh>
    <phoneticPr fontId="2"/>
  </si>
  <si>
    <t>武器(3)の使用近接職</t>
    <rPh sb="0" eb="2">
      <t>ブキ</t>
    </rPh>
    <rPh sb="10" eb="11">
      <t>ショク</t>
    </rPh>
    <phoneticPr fontId="2"/>
  </si>
  <si>
    <t>武器(4)</t>
    <rPh sb="0" eb="2">
      <t>ブキ</t>
    </rPh>
    <phoneticPr fontId="2"/>
  </si>
  <si>
    <t>武器(4)の使用近接職</t>
    <rPh sb="0" eb="2">
      <t>ブキ</t>
    </rPh>
    <rPh sb="10" eb="11">
      <t>ショク</t>
    </rPh>
    <phoneticPr fontId="2"/>
  </si>
  <si>
    <t>武器(5)</t>
    <rPh sb="0" eb="2">
      <t>ブキ</t>
    </rPh>
    <phoneticPr fontId="2"/>
  </si>
  <si>
    <t>武器(5)の使用近接職</t>
    <rPh sb="0" eb="2">
      <t>ブキ</t>
    </rPh>
    <rPh sb="10" eb="11">
      <t>ショク</t>
    </rPh>
    <phoneticPr fontId="2"/>
  </si>
  <si>
    <t>武器(6)</t>
    <rPh sb="0" eb="2">
      <t>ブキ</t>
    </rPh>
    <phoneticPr fontId="2"/>
  </si>
  <si>
    <t>武器(6)の使用近接職</t>
    <rPh sb="0" eb="2">
      <t>ブキ</t>
    </rPh>
    <rPh sb="10" eb="11">
      <t>ショク</t>
    </rPh>
    <phoneticPr fontId="2"/>
  </si>
  <si>
    <t>鎧</t>
    <rPh sb="0" eb="1">
      <t>ヨロイ</t>
    </rPh>
    <phoneticPr fontId="2"/>
  </si>
  <si>
    <t>胸甲</t>
  </si>
  <si>
    <t>鎧種別絞り込みなし</t>
    <rPh sb="0" eb="1">
      <t>ヨロイ</t>
    </rPh>
    <rPh sb="1" eb="3">
      <t>シュベツ</t>
    </rPh>
    <rPh sb="3" eb="4">
      <t>シボ</t>
    </rPh>
    <rPh sb="5" eb="6">
      <t>コ</t>
    </rPh>
    <phoneticPr fontId="2"/>
  </si>
  <si>
    <t>回避近接職</t>
    <rPh sb="0" eb="2">
      <t>カイヒ</t>
    </rPh>
    <rPh sb="2" eb="4">
      <t>キンセツ</t>
    </rPh>
    <rPh sb="4" eb="5">
      <t>ショク</t>
    </rPh>
    <phoneticPr fontId="2"/>
  </si>
  <si>
    <t>盾</t>
    <rPh sb="0" eb="1">
      <t>タテ</t>
    </rPh>
    <phoneticPr fontId="2"/>
  </si>
  <si>
    <t>大篭手</t>
    <rPh sb="0" eb="1">
      <t>オオ</t>
    </rPh>
    <rPh sb="1" eb="3">
      <t>コテ</t>
    </rPh>
    <phoneticPr fontId="2"/>
  </si>
  <si>
    <t>盾種別絞り込みなし</t>
    <rPh sb="0" eb="1">
      <t>タテ</t>
    </rPh>
    <rPh sb="1" eb="3">
      <t>シュベツ</t>
    </rPh>
    <rPh sb="3" eb="4">
      <t>シボ</t>
    </rPh>
    <rPh sb="5" eb="6">
      <t>コ</t>
    </rPh>
    <phoneticPr fontId="2"/>
  </si>
  <si>
    <t>盾受け近接職</t>
    <rPh sb="0" eb="1">
      <t>タテ</t>
    </rPh>
    <rPh sb="1" eb="2">
      <t>ウ</t>
    </rPh>
    <rPh sb="3" eb="5">
      <t>キンセツ</t>
    </rPh>
    <rPh sb="5" eb="6">
      <t>ショク</t>
    </rPh>
    <phoneticPr fontId="2"/>
  </si>
  <si>
    <t>その他の所持品(1)</t>
  </si>
  <si>
    <t>その他の所持品(2)</t>
  </si>
  <si>
    <t>携帯食：21</t>
    <rPh sb="0" eb="3">
      <t>ケイタイショク</t>
    </rPh>
    <phoneticPr fontId="2"/>
  </si>
  <si>
    <t>その他の所持品(3)</t>
  </si>
  <si>
    <t>衣類</t>
    <rPh sb="0" eb="2">
      <t>イルイ</t>
    </rPh>
    <phoneticPr fontId="2"/>
  </si>
  <si>
    <t>その他の所持品(4)</t>
  </si>
  <si>
    <t>精霊使いの鞄</t>
    <rPh sb="0" eb="2">
      <t>セイレイ</t>
    </rPh>
    <rPh sb="2" eb="3">
      <t>ツカ</t>
    </rPh>
    <rPh sb="5" eb="6">
      <t>カバン</t>
    </rPh>
    <phoneticPr fontId="2"/>
  </si>
  <si>
    <t>その他の所持品(5)</t>
  </si>
  <si>
    <t>竜眼の触媒</t>
    <rPh sb="0" eb="1">
      <t>リュウ</t>
    </rPh>
    <rPh sb="1" eb="2">
      <t>ガン</t>
    </rPh>
    <rPh sb="3" eb="5">
      <t>ショクバイ</t>
    </rPh>
    <phoneticPr fontId="2"/>
  </si>
  <si>
    <t>その他の所持品(6)</t>
  </si>
  <si>
    <t>竜吠の銀鈴</t>
    <rPh sb="0" eb="1">
      <t>リュウ</t>
    </rPh>
    <rPh sb="1" eb="2">
      <t>ホ</t>
    </rPh>
    <rPh sb="3" eb="4">
      <t>ギン</t>
    </rPh>
    <rPh sb="4" eb="5">
      <t>スズ</t>
    </rPh>
    <phoneticPr fontId="2"/>
  </si>
  <si>
    <t>その他の所持品(7)</t>
  </si>
  <si>
    <t>鎧下</t>
    <rPh sb="0" eb="1">
      <t>ヨロイ</t>
    </rPh>
    <rPh sb="1" eb="2">
      <t>シタ</t>
    </rPh>
    <phoneticPr fontId="2"/>
  </si>
  <si>
    <t>その他の所持品(8)</t>
  </si>
  <si>
    <t>その他の所持品(9)</t>
  </si>
  <si>
    <t>竜命の丸薬</t>
    <rPh sb="0" eb="1">
      <t>リュウ</t>
    </rPh>
    <rPh sb="1" eb="2">
      <t>イノチ</t>
    </rPh>
    <rPh sb="3" eb="5">
      <t>ガンヤク</t>
    </rPh>
    <phoneticPr fontId="2"/>
  </si>
  <si>
    <t>体力抵抗</t>
    <rPh sb="0" eb="2">
      <t>タイリョク</t>
    </rPh>
    <rPh sb="2" eb="4">
      <t>テイコウ</t>
    </rPh>
    <phoneticPr fontId="2"/>
  </si>
  <si>
    <t>水泳</t>
    <rPh sb="0" eb="2">
      <t>スイエイ</t>
    </rPh>
    <phoneticPr fontId="2"/>
  </si>
  <si>
    <t>隠密</t>
    <rPh sb="0" eb="2">
      <t>オンミツ</t>
    </rPh>
    <phoneticPr fontId="2"/>
  </si>
  <si>
    <t>観察(10分)</t>
    <rPh sb="0" eb="2">
      <t>カンサツ</t>
    </rPh>
    <rPh sb="5" eb="6">
      <t>フン</t>
    </rPh>
    <phoneticPr fontId="2"/>
  </si>
  <si>
    <t>免疫強化</t>
  </si>
  <si>
    <t xml:space="preserve">◆メモ欄
</t>
    <rPh sb="3" eb="4">
      <t>ラン</t>
    </rPh>
    <phoneticPr fontId="2"/>
  </si>
  <si>
    <t>魂魄抵抗</t>
    <rPh sb="0" eb="2">
      <t>コンパク</t>
    </rPh>
    <rPh sb="2" eb="4">
      <t>テイコウ</t>
    </rPh>
    <phoneticPr fontId="2"/>
  </si>
  <si>
    <t>登攀(技量)</t>
    <rPh sb="0" eb="2">
      <t>トウハン</t>
    </rPh>
    <rPh sb="3" eb="5">
      <t>ギリョウ</t>
    </rPh>
    <phoneticPr fontId="2"/>
  </si>
  <si>
    <t>隠密行軍</t>
    <rPh sb="0" eb="2">
      <t>オンミツ</t>
    </rPh>
    <rPh sb="2" eb="4">
      <t>コウグン</t>
    </rPh>
    <phoneticPr fontId="2"/>
  </si>
  <si>
    <t>詳細観察(1時間)</t>
    <rPh sb="0" eb="2">
      <t>ショウサイ</t>
    </rPh>
    <rPh sb="2" eb="4">
      <t>カンサツ</t>
    </rPh>
    <rPh sb="6" eb="8">
      <t>ジカン</t>
    </rPh>
    <phoneticPr fontId="2"/>
  </si>
  <si>
    <t>呪文抵抗</t>
  </si>
  <si>
    <t>知力抵抗</t>
    <rPh sb="0" eb="2">
      <t>チリョク</t>
    </rPh>
    <rPh sb="2" eb="4">
      <t>テイコウ</t>
    </rPh>
    <phoneticPr fontId="2"/>
  </si>
  <si>
    <t>軽業</t>
    <rPh sb="0" eb="2">
      <t>カルワザ</t>
    </rPh>
    <phoneticPr fontId="2"/>
  </si>
  <si>
    <t>咄嗟隠密</t>
    <rPh sb="0" eb="2">
      <t>トッサ</t>
    </rPh>
    <rPh sb="2" eb="4">
      <t>オンミツ</t>
    </rPh>
    <phoneticPr fontId="2"/>
  </si>
  <si>
    <t>咄嗟観察(30秒)</t>
    <rPh sb="0" eb="2">
      <t>トッサ</t>
    </rPh>
    <rPh sb="2" eb="4">
      <t>カンサツ</t>
    </rPh>
    <rPh sb="7" eb="8">
      <t>ビョウ</t>
    </rPh>
    <phoneticPr fontId="2"/>
  </si>
  <si>
    <t>荷重行動</t>
  </si>
  <si>
    <t>呪文抵抗</t>
    <rPh sb="0" eb="2">
      <t>ジュモン</t>
    </rPh>
    <rPh sb="2" eb="4">
      <t>テイコウ</t>
    </rPh>
    <phoneticPr fontId="2"/>
  </si>
  <si>
    <t>跳躍</t>
    <rPh sb="0" eb="2">
      <t>チョウヤク</t>
    </rPh>
    <phoneticPr fontId="2"/>
  </si>
  <si>
    <t>第六感</t>
    <rPh sb="0" eb="3">
      <t>ダイロッカン</t>
    </rPh>
    <phoneticPr fontId="2"/>
  </si>
  <si>
    <t>体術</t>
  </si>
  <si>
    <t>応急手当</t>
  </si>
  <si>
    <t>怪力(集中)</t>
    <rPh sb="0" eb="2">
      <t>カイリキ</t>
    </rPh>
    <rPh sb="3" eb="5">
      <t>シュウチュウ</t>
    </rPh>
    <phoneticPr fontId="2"/>
  </si>
  <si>
    <t>応急手当</t>
    <rPh sb="0" eb="2">
      <t>オウキュウ</t>
    </rPh>
    <rPh sb="2" eb="4">
      <t>テアテ</t>
    </rPh>
    <phoneticPr fontId="2"/>
  </si>
  <si>
    <t>怪物知識</t>
    <rPh sb="0" eb="2">
      <t>カイブツ</t>
    </rPh>
    <rPh sb="2" eb="4">
      <t>チシキ</t>
    </rPh>
    <phoneticPr fontId="2"/>
  </si>
  <si>
    <t>長距離移動</t>
    <rPh sb="0" eb="3">
      <t>チョウキョリ</t>
    </rPh>
    <rPh sb="3" eb="5">
      <t>イドウ</t>
    </rPh>
    <phoneticPr fontId="2"/>
  </si>
  <si>
    <t>手仕事</t>
  </si>
  <si>
    <t>怪力(持久)</t>
    <rPh sb="0" eb="2">
      <t>カイリキ</t>
    </rPh>
    <rPh sb="3" eb="5">
      <t>ジキュウ</t>
    </rPh>
    <phoneticPr fontId="2"/>
  </si>
  <si>
    <t>手仕事(10分)</t>
    <rPh sb="0" eb="3">
      <t>テシゴト</t>
    </rPh>
    <rPh sb="6" eb="7">
      <t>フン</t>
    </rPh>
    <phoneticPr fontId="2"/>
  </si>
  <si>
    <t>博識</t>
    <rPh sb="0" eb="2">
      <t>ハクシキ</t>
    </rPh>
    <phoneticPr fontId="2"/>
  </si>
  <si>
    <t>短距離走</t>
    <rPh sb="0" eb="4">
      <t>タンキョリソウ</t>
    </rPh>
    <phoneticPr fontId="2"/>
  </si>
  <si>
    <t>隠密</t>
  </si>
  <si>
    <t>脱出</t>
    <rPh sb="0" eb="2">
      <t>ダッシュツ</t>
    </rPh>
    <phoneticPr fontId="2"/>
  </si>
  <si>
    <t>手仕事(1時間)</t>
    <rPh sb="0" eb="3">
      <t>テシゴト</t>
    </rPh>
    <rPh sb="5" eb="7">
      <t>ジカン</t>
    </rPh>
    <phoneticPr fontId="2"/>
  </si>
  <si>
    <t>魔法知識</t>
    <rPh sb="0" eb="2">
      <t>マホウ</t>
    </rPh>
    <rPh sb="2" eb="4">
      <t>チシキ</t>
    </rPh>
    <phoneticPr fontId="2"/>
  </si>
  <si>
    <t>野草採取(1時間)</t>
    <rPh sb="0" eb="2">
      <t>ヤソウ</t>
    </rPh>
    <rPh sb="2" eb="4">
      <t>サイシュ</t>
    </rPh>
    <rPh sb="6" eb="8">
      <t>ジカン</t>
    </rPh>
    <phoneticPr fontId="2"/>
  </si>
  <si>
    <t>怪物知識</t>
  </si>
  <si>
    <t>登攀（筋力)</t>
    <rPh sb="0" eb="2">
      <t>トウハン</t>
    </rPh>
    <rPh sb="3" eb="5">
      <t>キンリョク</t>
    </rPh>
    <phoneticPr fontId="2"/>
  </si>
  <si>
    <t>手仕事(30秒)</t>
    <rPh sb="0" eb="3">
      <t>テシゴト</t>
    </rPh>
    <rPh sb="6" eb="7">
      <t>ビョウ</t>
    </rPh>
    <phoneticPr fontId="2"/>
  </si>
  <si>
    <t>文献調査</t>
    <rPh sb="0" eb="2">
      <t>ブンケン</t>
    </rPh>
    <rPh sb="2" eb="4">
      <t>チョウサ</t>
    </rPh>
    <phoneticPr fontId="2"/>
  </si>
  <si>
    <t>野獣発見(1時間)</t>
    <rPh sb="0" eb="2">
      <t>ヤジュウ</t>
    </rPh>
    <rPh sb="2" eb="4">
      <t>ハッケン</t>
    </rPh>
    <rPh sb="6" eb="8">
      <t>ジカン</t>
    </rPh>
    <phoneticPr fontId="2"/>
  </si>
  <si>
    <t>観察</t>
  </si>
  <si>
    <t>第六感</t>
  </si>
  <si>
    <t>体力集中</t>
    <rPh sb="0" eb="2">
      <t>タイリョク</t>
    </rPh>
    <rPh sb="2" eb="4">
      <t>シュウチュウ</t>
    </rPh>
    <phoneticPr fontId="2"/>
  </si>
  <si>
    <t>魂魄集中</t>
    <rPh sb="0" eb="2">
      <t>コンパク</t>
    </rPh>
    <rPh sb="2" eb="4">
      <t>シュウチュウ</t>
    </rPh>
    <phoneticPr fontId="2"/>
  </si>
  <si>
    <t>技量集中</t>
    <rPh sb="0" eb="2">
      <t>ギリョウ</t>
    </rPh>
    <rPh sb="2" eb="4">
      <t>シュウチュウ</t>
    </rPh>
    <phoneticPr fontId="2"/>
  </si>
  <si>
    <t>知力集中</t>
    <rPh sb="0" eb="2">
      <t>チリョク</t>
    </rPh>
    <rPh sb="2" eb="4">
      <t>シュウチュウ</t>
    </rPh>
    <phoneticPr fontId="2"/>
  </si>
  <si>
    <t>沈着冷静</t>
  </si>
  <si>
    <t>体力持久</t>
    <rPh sb="0" eb="2">
      <t>タイリョク</t>
    </rPh>
    <rPh sb="2" eb="4">
      <t>ジキュウ</t>
    </rPh>
    <phoneticPr fontId="2"/>
  </si>
  <si>
    <t>魂魄持久</t>
    <rPh sb="0" eb="2">
      <t>コンパク</t>
    </rPh>
    <rPh sb="2" eb="4">
      <t>ジキュウ</t>
    </rPh>
    <phoneticPr fontId="2"/>
  </si>
  <si>
    <t>技量持久</t>
    <rPh sb="0" eb="2">
      <t>ギリョウ</t>
    </rPh>
    <rPh sb="2" eb="4">
      <t>ジキュウ</t>
    </rPh>
    <phoneticPr fontId="2"/>
  </si>
  <si>
    <t>知力持久</t>
    <rPh sb="0" eb="2">
      <t>チリョク</t>
    </rPh>
    <rPh sb="2" eb="4">
      <t>ジキュウ</t>
    </rPh>
    <phoneticPr fontId="2"/>
  </si>
  <si>
    <t>博識</t>
  </si>
  <si>
    <t>体力反射</t>
    <rPh sb="0" eb="2">
      <t>タイリョク</t>
    </rPh>
    <rPh sb="2" eb="4">
      <t>ハンシャ</t>
    </rPh>
    <phoneticPr fontId="2"/>
  </si>
  <si>
    <t>魂魄反射</t>
    <rPh sb="0" eb="2">
      <t>コンパク</t>
    </rPh>
    <rPh sb="2" eb="4">
      <t>ハンシャ</t>
    </rPh>
    <phoneticPr fontId="2"/>
  </si>
  <si>
    <t>技量反射</t>
    <rPh sb="0" eb="2">
      <t>ギリョウ</t>
    </rPh>
    <rPh sb="2" eb="4">
      <t>ハンシャ</t>
    </rPh>
    <phoneticPr fontId="2"/>
  </si>
  <si>
    <t>知力反射</t>
    <rPh sb="0" eb="2">
      <t>チリョク</t>
    </rPh>
    <rPh sb="2" eb="4">
      <t>ハンシャ</t>
    </rPh>
    <phoneticPr fontId="2"/>
  </si>
  <si>
    <t>文献調査</t>
  </si>
  <si>
    <t>長距離移動</t>
  </si>
  <si>
    <t>交渉：説得</t>
    <rPh sb="0" eb="2">
      <t>コウショウ</t>
    </rPh>
    <rPh sb="3" eb="5">
      <t>セットク</t>
    </rPh>
    <phoneticPr fontId="2"/>
  </si>
  <si>
    <t>◆現在因果点</t>
    <rPh sb="1" eb="3">
      <t>ゲンザイ</t>
    </rPh>
    <rPh sb="3" eb="5">
      <t>インガ</t>
    </rPh>
    <rPh sb="5" eb="6">
      <t>テン</t>
    </rPh>
    <phoneticPr fontId="2"/>
  </si>
  <si>
    <t>◆食料</t>
    <rPh sb="1" eb="3">
      <t>ショクリョウ</t>
    </rPh>
    <phoneticPr fontId="2"/>
  </si>
  <si>
    <t>交渉：誘惑</t>
    <rPh sb="0" eb="2">
      <t>コウショウ</t>
    </rPh>
    <rPh sb="3" eb="5">
      <t>ユウワク</t>
    </rPh>
    <phoneticPr fontId="2"/>
  </si>
  <si>
    <t>◆経過戦闘ラウンド</t>
    <rPh sb="1" eb="3">
      <t>ケイカ</t>
    </rPh>
    <rPh sb="3" eb="5">
      <t>セントウ</t>
    </rPh>
    <phoneticPr fontId="2"/>
  </si>
  <si>
    <t>◆水袋</t>
    <rPh sb="1" eb="2">
      <t>ミズ</t>
    </rPh>
    <rPh sb="2" eb="3">
      <t>ブクロ</t>
    </rPh>
    <phoneticPr fontId="2"/>
  </si>
  <si>
    <t>交渉：脅迫</t>
    <rPh sb="0" eb="2">
      <t>コウショウ</t>
    </rPh>
    <rPh sb="3" eb="5">
      <t>キョウハク</t>
    </rPh>
    <phoneticPr fontId="2"/>
  </si>
  <si>
    <t>◆消耗合計</t>
    <rPh sb="1" eb="3">
      <t>ショウモウ</t>
    </rPh>
    <rPh sb="3" eb="5">
      <t>ゴウケイ</t>
    </rPh>
    <phoneticPr fontId="2"/>
  </si>
  <si>
    <t>◆松明</t>
    <rPh sb="1" eb="3">
      <t>タイマツ</t>
    </rPh>
    <phoneticPr fontId="2"/>
  </si>
  <si>
    <t>交渉：言いくるめ</t>
    <rPh sb="0" eb="2">
      <t>コウショウ</t>
    </rPh>
    <rPh sb="3" eb="4">
      <t>イ</t>
    </rPh>
    <phoneticPr fontId="2"/>
  </si>
  <si>
    <t>◆継戦合計</t>
    <rPh sb="1" eb="3">
      <t>ケイセン</t>
    </rPh>
    <rPh sb="3" eb="5">
      <t>ゴウケイ</t>
    </rPh>
    <phoneticPr fontId="2"/>
  </si>
  <si>
    <t>◆油</t>
    <rPh sb="1" eb="2">
      <t>アブラ</t>
    </rPh>
    <phoneticPr fontId="2"/>
  </si>
  <si>
    <t>◆生命力</t>
    <rPh sb="1" eb="4">
      <t>セイメイリョク</t>
    </rPh>
    <phoneticPr fontId="2"/>
  </si>
  <si>
    <t>◆手当道具</t>
    <rPh sb="1" eb="3">
      <t>テアテ</t>
    </rPh>
    <rPh sb="3" eb="5">
      <t>ドウグ</t>
    </rPh>
    <phoneticPr fontId="2"/>
  </si>
  <si>
    <t>◆生命力x2</t>
    <rPh sb="1" eb="4">
      <t>セイメイリョク</t>
    </rPh>
    <phoneticPr fontId="2"/>
  </si>
  <si>
    <t>◆移動力</t>
    <rPh sb="1" eb="3">
      <t>イドウ</t>
    </rPh>
    <rPh sb="3" eb="4">
      <t>リョク</t>
    </rPh>
    <phoneticPr fontId="2"/>
  </si>
  <si>
    <t>◆負傷数</t>
    <rPh sb="1" eb="3">
      <t>フショウ</t>
    </rPh>
    <rPh sb="3" eb="4">
      <t>スウ</t>
    </rPh>
    <phoneticPr fontId="2"/>
  </si>
  <si>
    <t>◆残り呪文使用回数</t>
    <rPh sb="1" eb="2">
      <t>ノコ</t>
    </rPh>
    <rPh sb="3" eb="5">
      <t>ジュモン</t>
    </rPh>
    <rPh sb="5" eb="7">
      <t>シヨウ</t>
    </rPh>
    <rPh sb="7" eb="9">
      <t>カイスウ</t>
    </rPh>
    <phoneticPr fontId="2"/>
  </si>
  <si>
    <t>◆所持金</t>
    <rPh sb="1" eb="4">
      <t>ショジキン</t>
    </rPh>
    <phoneticPr fontId="2"/>
  </si>
  <si>
    <t>◆追加継戦カウンター</t>
    <rPh sb="1" eb="3">
      <t>ツイカ</t>
    </rPh>
    <rPh sb="3" eb="5">
      <t>ケイセン</t>
    </rPh>
    <phoneticPr fontId="2"/>
  </si>
  <si>
    <t>◆追加消耗</t>
    <rPh sb="1" eb="3">
      <t>ツイカ</t>
    </rPh>
    <rPh sb="3" eb="5">
      <t>ショウモウ</t>
    </rPh>
    <phoneticPr fontId="2"/>
  </si>
  <si>
    <t>◆因果点上昇値</t>
    <rPh sb="1" eb="3">
      <t>インガ</t>
    </rPh>
    <rPh sb="3" eb="4">
      <t>テン</t>
    </rPh>
    <rPh sb="4" eb="6">
      <t>ジョウショウ</t>
    </rPh>
    <rPh sb="6" eb="7">
      <t>チ</t>
    </rPh>
    <phoneticPr fontId="2"/>
  </si>
  <si>
    <t>◆生命力減少</t>
    <rPh sb="1" eb="4">
      <t>セイメイリョク</t>
    </rPh>
    <rPh sb="4" eb="6">
      <t>ゲンショウ</t>
    </rPh>
    <phoneticPr fontId="2"/>
  </si>
  <si>
    <t>◆呪文使用</t>
    <rPh sb="1" eb="3">
      <t>ジュモン</t>
    </rPh>
    <rPh sb="3" eb="5">
      <t>シヨウ</t>
    </rPh>
    <phoneticPr fontId="2"/>
  </si>
  <si>
    <t>現在値：</t>
    <rPh sb="0" eb="3">
      <t>ゲンザイチ</t>
    </rPh>
    <phoneticPr fontId="2"/>
  </si>
  <si>
    <t>合計：</t>
    <rPh sb="0" eb="2">
      <t>ゴウケイ</t>
    </rPh>
    <phoneticPr fontId="2"/>
  </si>
  <si>
    <t>◆継戦カウンター回復</t>
    <rPh sb="1" eb="3">
      <t>ケイセン</t>
    </rPh>
    <rPh sb="8" eb="10">
      <t>カイフク</t>
    </rPh>
    <phoneticPr fontId="2"/>
  </si>
  <si>
    <t>◆消耗回復</t>
    <rPh sb="1" eb="3">
      <t>ショウモウ</t>
    </rPh>
    <rPh sb="3" eb="5">
      <t>カイフク</t>
    </rPh>
    <phoneticPr fontId="2"/>
  </si>
  <si>
    <t>◆生命力回復</t>
    <rPh sb="1" eb="4">
      <t>セイメイリョク</t>
    </rPh>
    <rPh sb="4" eb="6">
      <t>カイフク</t>
    </rPh>
    <phoneticPr fontId="2"/>
  </si>
  <si>
    <t>◆負傷数回復</t>
    <rPh sb="1" eb="3">
      <t>フショウ</t>
    </rPh>
    <rPh sb="3" eb="4">
      <t>スウ</t>
    </rPh>
    <rPh sb="4" eb="6">
      <t>カイフク</t>
    </rPh>
    <phoneticPr fontId="2"/>
  </si>
  <si>
    <t>◆呪文使用数回復</t>
    <rPh sb="1" eb="3">
      <t>ジュモン</t>
    </rPh>
    <rPh sb="3" eb="5">
      <t>シヨウ</t>
    </rPh>
    <rPh sb="5" eb="6">
      <t>スウ</t>
    </rPh>
    <rPh sb="6" eb="8">
      <t>カイフク</t>
    </rPh>
    <phoneticPr fontId="2"/>
  </si>
  <si>
    <t>◆消耗品使用</t>
    <rPh sb="1" eb="3">
      <t>ショウモウ</t>
    </rPh>
    <rPh sb="3" eb="4">
      <t>ヒン</t>
    </rPh>
    <rPh sb="4" eb="6">
      <t>シヨウ</t>
    </rPh>
    <phoneticPr fontId="2"/>
  </si>
  <si>
    <t>◆消耗品獲得</t>
    <rPh sb="1" eb="3">
      <t>ショウモウ</t>
    </rPh>
    <rPh sb="3" eb="4">
      <t>ヒン</t>
    </rPh>
    <rPh sb="4" eb="6">
      <t>カクトク</t>
    </rPh>
    <phoneticPr fontId="2"/>
  </si>
  <si>
    <t>　◆食料</t>
    <rPh sb="2" eb="4">
      <t>ショクリョウ</t>
    </rPh>
    <phoneticPr fontId="2"/>
  </si>
  <si>
    <t>　◆水袋</t>
    <rPh sb="2" eb="3">
      <t>ミズ</t>
    </rPh>
    <rPh sb="3" eb="4">
      <t>ブクロ</t>
    </rPh>
    <phoneticPr fontId="2"/>
  </si>
  <si>
    <t>　◆松明</t>
    <rPh sb="2" eb="4">
      <t>タイマツ</t>
    </rPh>
    <phoneticPr fontId="2"/>
  </si>
  <si>
    <t>　◆油</t>
    <rPh sb="2" eb="3">
      <t>アブラ</t>
    </rPh>
    <phoneticPr fontId="2"/>
  </si>
  <si>
    <t>　◆手当道具</t>
    <rPh sb="2" eb="4">
      <t>テアテ</t>
    </rPh>
    <rPh sb="4" eb="6">
      <t>ドウグ</t>
    </rPh>
    <phoneticPr fontId="2"/>
  </si>
  <si>
    <t>　◆石弾</t>
    <rPh sb="2" eb="3">
      <t>セキ</t>
    </rPh>
    <rPh sb="3" eb="4">
      <t>ダン</t>
    </rPh>
    <phoneticPr fontId="2"/>
  </si>
  <si>
    <t>　◆矢</t>
    <rPh sb="2" eb="3">
      <t>ヤ</t>
    </rPh>
    <phoneticPr fontId="2"/>
  </si>
  <si>
    <t>　◆太矢</t>
    <rPh sb="2" eb="3">
      <t>フト</t>
    </rPh>
    <rPh sb="3" eb="4">
      <t>ヤ</t>
    </rPh>
    <phoneticPr fontId="2"/>
  </si>
  <si>
    <t>　◆投矢</t>
    <rPh sb="2" eb="3">
      <t>ナ</t>
    </rPh>
    <rPh sb="3" eb="4">
      <t>ヤ</t>
    </rPh>
    <phoneticPr fontId="2"/>
  </si>
  <si>
    <t>　◆弾丸</t>
    <rPh sb="2" eb="4">
      <t>ダンガン</t>
    </rPh>
    <phoneticPr fontId="2"/>
  </si>
  <si>
    <t>　◆火の秘薬</t>
    <rPh sb="2" eb="3">
      <t>ヒ</t>
    </rPh>
    <rPh sb="4" eb="6">
      <t>ヒヤク</t>
    </rPh>
    <phoneticPr fontId="2"/>
  </si>
  <si>
    <t>◆石弾</t>
    <rPh sb="1" eb="2">
      <t>セキ</t>
    </rPh>
    <rPh sb="2" eb="3">
      <t>ダン</t>
    </rPh>
    <phoneticPr fontId="2"/>
  </si>
  <si>
    <t>◆矢</t>
    <rPh sb="1" eb="2">
      <t>ヤ</t>
    </rPh>
    <phoneticPr fontId="2"/>
  </si>
  <si>
    <t>◆太矢</t>
    <rPh sb="1" eb="2">
      <t>フト</t>
    </rPh>
    <rPh sb="2" eb="3">
      <t>ヤ</t>
    </rPh>
    <phoneticPr fontId="2"/>
  </si>
  <si>
    <t>◆投矢</t>
    <rPh sb="1" eb="2">
      <t>ナ</t>
    </rPh>
    <rPh sb="2" eb="3">
      <t>ヤ</t>
    </rPh>
    <phoneticPr fontId="2"/>
  </si>
  <si>
    <t>◆弾丸</t>
    <rPh sb="1" eb="3">
      <t>ダンガン</t>
    </rPh>
    <phoneticPr fontId="2"/>
  </si>
  <si>
    <t>◆火の秘薬</t>
    <rPh sb="1" eb="2">
      <t>ヒ</t>
    </rPh>
    <rPh sb="3" eb="5">
      <t>ヒヤク</t>
    </rPh>
    <phoneticPr fontId="2"/>
  </si>
  <si>
    <t>◆継戦による消耗</t>
    <rPh sb="1" eb="3">
      <t>ケイセン</t>
    </rPh>
    <rPh sb="6" eb="8">
      <t>ショウモウ</t>
    </rPh>
    <phoneticPr fontId="2"/>
  </si>
  <si>
    <t>◆呪文使用回数</t>
    <rPh sb="1" eb="3">
      <t>ジュモン</t>
    </rPh>
    <rPh sb="3" eb="5">
      <t>シヨウ</t>
    </rPh>
    <rPh sb="5" eb="7">
      <t>カイスウ</t>
    </rPh>
    <phoneticPr fontId="2"/>
  </si>
  <si>
    <t>挑発</t>
    <phoneticPr fontId="2"/>
  </si>
  <si>
    <t>移動妨害</t>
    <rPh sb="2" eb="4">
      <t>ボウガイ</t>
    </rPh>
    <phoneticPr fontId="2"/>
  </si>
  <si>
    <t>移動妨害抵抗</t>
    <rPh sb="2" eb="4">
      <t>ボウガイ</t>
    </rPh>
    <phoneticPr fontId="2"/>
  </si>
  <si>
    <t>機先</t>
    <rPh sb="0" eb="2">
      <t>キセン</t>
    </rPh>
    <phoneticPr fontId="2"/>
  </si>
  <si>
    <t>◆戦闘ラウンドカウンタ</t>
    <rPh sb="1" eb="3">
      <t>セントウ</t>
    </rPh>
    <phoneticPr fontId="2"/>
  </si>
  <si>
    <t>入金</t>
    <rPh sb="0" eb="2">
      <t>ニュウキン</t>
    </rPh>
    <phoneticPr fontId="2"/>
  </si>
  <si>
    <t>出金</t>
    <rPh sb="0" eb="2">
      <t>シュッキン</t>
    </rPh>
    <phoneticPr fontId="2"/>
  </si>
  <si>
    <t>初期値</t>
    <rPh sb="0" eb="3">
      <t>ショキチ</t>
    </rPh>
    <phoneticPr fontId="2"/>
  </si>
  <si>
    <t>経験値</t>
    <rPh sb="0" eb="3">
      <t>ケイケンチ</t>
    </rPh>
    <phoneticPr fontId="2"/>
  </si>
  <si>
    <t>成長点</t>
    <rPh sb="0" eb="2">
      <t>セイチョウ</t>
    </rPh>
    <rPh sb="2" eb="3">
      <t>テン</t>
    </rPh>
    <phoneticPr fontId="2"/>
  </si>
  <si>
    <t>冒険結果</t>
    <rPh sb="0" eb="2">
      <t>ボウケン</t>
    </rPh>
    <rPh sb="2" eb="4">
      <t>ケッカ</t>
    </rPh>
    <phoneticPr fontId="2"/>
  </si>
  <si>
    <t>1回目の冒険</t>
  </si>
  <si>
    <t>達成</t>
    <rPh sb="0" eb="2">
      <t>タッセイ</t>
    </rPh>
    <phoneticPr fontId="2"/>
  </si>
  <si>
    <t>2回目の冒険</t>
  </si>
  <si>
    <t>3回目の冒険</t>
  </si>
  <si>
    <t>4回目の冒険</t>
  </si>
  <si>
    <t>5回目の冒険</t>
  </si>
  <si>
    <t>6回目の冒険</t>
  </si>
  <si>
    <t>7回目の冒険</t>
  </si>
  <si>
    <t>8回目の冒険</t>
  </si>
  <si>
    <t>9回目の冒険</t>
  </si>
  <si>
    <t>10回目の冒険</t>
  </si>
  <si>
    <t>11回目の冒険</t>
  </si>
  <si>
    <t>12回目の冒険</t>
  </si>
  <si>
    <t>13回目の冒険</t>
  </si>
  <si>
    <t>14回目の冒険</t>
  </si>
  <si>
    <t>15回目の冒険</t>
  </si>
  <si>
    <t>16回目の冒険</t>
  </si>
  <si>
    <t>17回目の冒険</t>
  </si>
  <si>
    <t>18回目の冒険</t>
  </si>
  <si>
    <t>19回目の冒険</t>
  </si>
  <si>
    <t>20回目の冒険</t>
  </si>
  <si>
    <t>21回目の冒険</t>
  </si>
  <si>
    <t>22回目の冒険</t>
  </si>
  <si>
    <t>23回目の冒険</t>
  </si>
  <si>
    <t>24回目の冒険</t>
  </si>
  <si>
    <t>25回目の冒険</t>
  </si>
  <si>
    <t>26回目の冒険</t>
  </si>
  <si>
    <t>27回目の冒険</t>
  </si>
  <si>
    <t>28回目の冒険</t>
  </si>
  <si>
    <t>29回目の冒険</t>
  </si>
  <si>
    <t>30回目の冒険</t>
  </si>
  <si>
    <t>31回目の冒険</t>
  </si>
  <si>
    <t>32回目の冒険</t>
  </si>
  <si>
    <t>33回目の冒険</t>
  </si>
  <si>
    <t>34回目の冒険</t>
  </si>
  <si>
    <t>35回目の冒険</t>
  </si>
  <si>
    <t>36回目の冒険</t>
  </si>
  <si>
    <t>37回目の冒険</t>
  </si>
  <si>
    <t>38回目の冒険</t>
  </si>
  <si>
    <t>39回目の冒険</t>
  </si>
  <si>
    <t>40回目の冒険</t>
  </si>
  <si>
    <t>41回目の冒険</t>
  </si>
  <si>
    <t>42回目の冒険</t>
  </si>
  <si>
    <t>43回目の冒険</t>
  </si>
  <si>
    <t>44回目の冒険</t>
  </si>
  <si>
    <t>45回目の冒険</t>
  </si>
  <si>
    <t>46回目の冒険</t>
  </si>
  <si>
    <t>47回目の冒険</t>
  </si>
  <si>
    <t>48回目の冒険</t>
  </si>
  <si>
    <t>49回目の冒険</t>
  </si>
  <si>
    <t>50回目の冒険</t>
  </si>
  <si>
    <t>51回目の冒険</t>
  </si>
  <si>
    <t>52回目の冒険</t>
  </si>
  <si>
    <t>53回目の冒険</t>
  </si>
  <si>
    <t>54回目の冒険</t>
  </si>
  <si>
    <t>55回目の冒険</t>
  </si>
  <si>
    <t>56回目の冒険</t>
  </si>
  <si>
    <t>57回目の冒険</t>
  </si>
  <si>
    <t>58回目の冒険</t>
  </si>
  <si>
    <t>59回目の冒険</t>
  </si>
  <si>
    <t>60回目の冒険</t>
  </si>
  <si>
    <t>61回目の冒険</t>
  </si>
  <si>
    <t>62回目の冒険</t>
  </si>
  <si>
    <t>63回目の冒険</t>
  </si>
  <si>
    <t>64回目の冒険</t>
  </si>
  <si>
    <t>65回目の冒険</t>
  </si>
  <si>
    <t>66回目の冒険</t>
  </si>
  <si>
    <t>67回目の冒険</t>
  </si>
  <si>
    <t>68回目の冒険</t>
  </si>
  <si>
    <t>69回目の冒険</t>
  </si>
  <si>
    <t>70回目の冒険</t>
  </si>
  <si>
    <t>71回目の冒険</t>
  </si>
  <si>
    <t>72回目の冒険</t>
  </si>
  <si>
    <t>73回目の冒険</t>
  </si>
  <si>
    <t>74回目の冒険</t>
  </si>
  <si>
    <t>75回目の冒険</t>
  </si>
  <si>
    <t>76回目の冒険</t>
  </si>
  <si>
    <t>77回目の冒険</t>
  </si>
  <si>
    <t>78回目の冒険</t>
  </si>
  <si>
    <t>79回目の冒険</t>
  </si>
  <si>
    <t>80回目の冒険</t>
  </si>
  <si>
    <t>81回目の冒険</t>
  </si>
  <si>
    <t>82回目の冒険</t>
  </si>
  <si>
    <t>83回目の冒険</t>
  </si>
  <si>
    <t>84回目の冒険</t>
  </si>
  <si>
    <t>85回目の冒険</t>
  </si>
  <si>
    <t>86回目の冒険</t>
  </si>
  <si>
    <t>87回目の冒険</t>
  </si>
  <si>
    <t>88回目の冒険</t>
  </si>
  <si>
    <t>89回目の冒険</t>
  </si>
  <si>
    <t>90回目の冒険</t>
  </si>
  <si>
    <t>91回目の冒険</t>
  </si>
  <si>
    <t>92回目の冒険</t>
  </si>
  <si>
    <t>93回目の冒険</t>
  </si>
  <si>
    <t>94回目の冒険</t>
  </si>
  <si>
    <t>95回目の冒険</t>
  </si>
  <si>
    <t>96回目の冒険</t>
  </si>
  <si>
    <t>97回目の冒険</t>
  </si>
  <si>
    <t>98回目の冒険</t>
  </si>
  <si>
    <t>99回目の冒険</t>
  </si>
  <si>
    <t>100回目の冒険</t>
  </si>
  <si>
    <t>101回目の冒険</t>
  </si>
  <si>
    <t>102回目の冒険</t>
  </si>
  <si>
    <t>103回目の冒険</t>
  </si>
  <si>
    <t>104回目の冒険</t>
  </si>
  <si>
    <t>105回目の冒険</t>
  </si>
  <si>
    <t>106回目の冒険</t>
  </si>
  <si>
    <t>107回目の冒険</t>
  </si>
  <si>
    <t>108回目の冒険</t>
  </si>
  <si>
    <t xml:space="preserve">※○１つにつき１点消耗 </t>
  </si>
  <si>
    <t>◆呪文 </t>
  </si>
  <si>
    <t>◆攻撃</t>
    <rPh sb="1" eb="3">
      <t>コウゲキ</t>
    </rPh>
    <phoneticPr fontId="2"/>
  </si>
  <si>
    <t>使用近接職</t>
    <rPh sb="0" eb="2">
      <t>シヨウ</t>
    </rPh>
    <rPh sb="2" eb="4">
      <t>キンセツ</t>
    </rPh>
    <rPh sb="4" eb="5">
      <t>ショク</t>
    </rPh>
    <phoneticPr fontId="2"/>
  </si>
  <si>
    <t>クラスレベル</t>
    <phoneticPr fontId="2"/>
  </si>
  <si>
    <t>技能ボーナス</t>
    <rPh sb="0" eb="2">
      <t>ギノウ</t>
    </rPh>
    <phoneticPr fontId="2"/>
  </si>
  <si>
    <t>武器</t>
    <rPh sb="0" eb="2">
      <t>ブキ</t>
    </rPh>
    <phoneticPr fontId="2"/>
  </si>
  <si>
    <t>用途</t>
    <rPh sb="0" eb="2">
      <t>ヨウト</t>
    </rPh>
    <phoneticPr fontId="2"/>
  </si>
  <si>
    <t>重量</t>
    <rPh sb="0" eb="2">
      <t>ジュウリョウ</t>
    </rPh>
    <phoneticPr fontId="2"/>
  </si>
  <si>
    <t>持手</t>
    <rPh sb="0" eb="1">
      <t>モ</t>
    </rPh>
    <rPh sb="1" eb="2">
      <t>テ</t>
    </rPh>
    <phoneticPr fontId="2"/>
  </si>
  <si>
    <t>属性</t>
    <rPh sb="0" eb="2">
      <t>ゾクセイ</t>
    </rPh>
    <phoneticPr fontId="2"/>
  </si>
  <si>
    <t>威力</t>
    <rPh sb="0" eb="2">
      <t>イリョク</t>
    </rPh>
    <phoneticPr fontId="2"/>
  </si>
  <si>
    <t>命中修正</t>
    <rPh sb="0" eb="2">
      <t>メイチュウ</t>
    </rPh>
    <rPh sb="2" eb="4">
      <t>シュウセイ</t>
    </rPh>
    <phoneticPr fontId="2"/>
  </si>
  <si>
    <t>射程</t>
    <rPh sb="0" eb="2">
      <t>シャテイ</t>
    </rPh>
    <phoneticPr fontId="2"/>
  </si>
  <si>
    <t>効果</t>
    <rPh sb="0" eb="2">
      <t>コウカ</t>
    </rPh>
    <phoneticPr fontId="2"/>
  </si>
  <si>
    <t>価格</t>
    <rPh sb="0" eb="2">
      <t>カカク</t>
    </rPh>
    <phoneticPr fontId="2"/>
  </si>
  <si>
    <t>受け流し</t>
    <rPh sb="0" eb="1">
      <t>ウ</t>
    </rPh>
    <rPh sb="2" eb="3">
      <t>ナガ</t>
    </rPh>
    <phoneticPr fontId="2"/>
  </si>
  <si>
    <t>強打・斬</t>
    <phoneticPr fontId="2"/>
  </si>
  <si>
    <t>強打・殴</t>
    <phoneticPr fontId="2"/>
  </si>
  <si>
    <t>刺突</t>
    <phoneticPr fontId="2"/>
  </si>
  <si>
    <t>威力ダイス</t>
    <rPh sb="0" eb="2">
      <t>イリョク</t>
    </rPh>
    <phoneticPr fontId="2"/>
  </si>
  <si>
    <t>威力修正</t>
    <rPh sb="0" eb="2">
      <t>イリョク</t>
    </rPh>
    <rPh sb="2" eb="4">
      <t>シュウセイ</t>
    </rPh>
    <phoneticPr fontId="2"/>
  </si>
  <si>
    <t>斬</t>
    <phoneticPr fontId="2"/>
  </si>
  <si>
    <t>殴</t>
    <phoneticPr fontId="2"/>
  </si>
  <si>
    <t>刺</t>
    <phoneticPr fontId="2"/>
  </si>
  <si>
    <t>最大</t>
    <rPh sb="0" eb="2">
      <t>サイダイ</t>
    </rPh>
    <phoneticPr fontId="2"/>
  </si>
  <si>
    <t>最大属性</t>
    <rPh sb="0" eb="2">
      <t>サイダイ</t>
    </rPh>
    <rPh sb="2" eb="4">
      <t>ゾクセイ</t>
    </rPh>
    <phoneticPr fontId="2"/>
  </si>
  <si>
    <t>表示用名称</t>
    <rPh sb="0" eb="3">
      <t>ヒョウジヨウ</t>
    </rPh>
    <rPh sb="3" eb="5">
      <t>メイショウ</t>
    </rPh>
    <phoneticPr fontId="2"/>
  </si>
  <si>
    <t>竜の末裔ボーナス</t>
    <rPh sb="0" eb="1">
      <t>リュウ</t>
    </rPh>
    <rPh sb="2" eb="4">
      <t>マツエイ</t>
    </rPh>
    <phoneticPr fontId="2"/>
  </si>
  <si>
    <t>隠密性修正</t>
    <rPh sb="0" eb="2">
      <t>オンミツ</t>
    </rPh>
    <rPh sb="2" eb="3">
      <t>セイ</t>
    </rPh>
    <rPh sb="3" eb="5">
      <t>シュウセイ</t>
    </rPh>
    <phoneticPr fontId="2"/>
  </si>
  <si>
    <t>水泳修正</t>
    <rPh sb="0" eb="2">
      <t>スイエイ</t>
    </rPh>
    <rPh sb="2" eb="4">
      <t>シュウセイ</t>
    </rPh>
    <phoneticPr fontId="2"/>
  </si>
  <si>
    <t>神官or竜司祭Lv1装甲</t>
    <rPh sb="10" eb="12">
      <t>ソウコウ</t>
    </rPh>
    <phoneticPr fontId="2"/>
  </si>
  <si>
    <t>神官or竜司祭Lv5装甲</t>
    <rPh sb="10" eb="12">
      <t>ソウコウ</t>
    </rPh>
    <phoneticPr fontId="2"/>
  </si>
  <si>
    <t>野伏Lv1隠密</t>
    <rPh sb="0" eb="1">
      <t>ノ</t>
    </rPh>
    <rPh sb="1" eb="2">
      <t>フセ</t>
    </rPh>
    <rPh sb="5" eb="7">
      <t>オンミツ</t>
    </rPh>
    <phoneticPr fontId="2"/>
  </si>
  <si>
    <t>野伏Lv1回避</t>
    <rPh sb="0" eb="1">
      <t>ノ</t>
    </rPh>
    <rPh sb="1" eb="2">
      <t>フセ</t>
    </rPh>
    <rPh sb="5" eb="7">
      <t>カイヒ</t>
    </rPh>
    <phoneticPr fontId="2"/>
  </si>
  <si>
    <t>神官(戦女神)：交渉：誘惑</t>
    <rPh sb="0" eb="2">
      <t>シンカン</t>
    </rPh>
    <rPh sb="3" eb="4">
      <t>イクサ</t>
    </rPh>
    <rPh sb="4" eb="6">
      <t>メガミ</t>
    </rPh>
    <rPh sb="8" eb="10">
      <t>コウショウ</t>
    </rPh>
    <rPh sb="11" eb="13">
      <t>ユウワク</t>
    </rPh>
    <phoneticPr fontId="2"/>
  </si>
  <si>
    <t>登攀修正</t>
    <rPh sb="0" eb="2">
      <t>トウハン</t>
    </rPh>
    <rPh sb="2" eb="4">
      <t>シュウセイ</t>
    </rPh>
    <phoneticPr fontId="2"/>
  </si>
  <si>
    <t>最終隠密修正</t>
    <rPh sb="0" eb="2">
      <t>サイシュウ</t>
    </rPh>
    <rPh sb="2" eb="4">
      <t>オンミツ</t>
    </rPh>
    <rPh sb="4" eb="6">
      <t>シュウセイ</t>
    </rPh>
    <phoneticPr fontId="2"/>
  </si>
  <si>
    <t>跳躍修正</t>
    <rPh sb="0" eb="2">
      <t>チョウヤク</t>
    </rPh>
    <rPh sb="2" eb="4">
      <t>シュウセイ</t>
    </rPh>
    <phoneticPr fontId="2"/>
  </si>
  <si>
    <t>最終交渉：誘惑</t>
    <rPh sb="0" eb="2">
      <t>サイシュウ</t>
    </rPh>
    <rPh sb="2" eb="4">
      <t>コウショウ</t>
    </rPh>
    <rPh sb="5" eb="7">
      <t>ユウワク</t>
    </rPh>
    <phoneticPr fontId="2"/>
  </si>
  <si>
    <t>真言呪文行使判定修正</t>
    <rPh sb="0" eb="2">
      <t>シンゴン</t>
    </rPh>
    <rPh sb="2" eb="4">
      <t>ジュモン</t>
    </rPh>
    <rPh sb="4" eb="6">
      <t>コウシ</t>
    </rPh>
    <rPh sb="6" eb="8">
      <t>ハンテイ</t>
    </rPh>
    <rPh sb="8" eb="10">
      <t>シュウセイ</t>
    </rPh>
    <phoneticPr fontId="2"/>
  </si>
  <si>
    <t>奇跡行使判定修正</t>
    <rPh sb="0" eb="2">
      <t>キセキ</t>
    </rPh>
    <rPh sb="2" eb="4">
      <t>コウシ</t>
    </rPh>
    <rPh sb="4" eb="6">
      <t>ハンテイ</t>
    </rPh>
    <rPh sb="6" eb="8">
      <t>シュウセイ</t>
    </rPh>
    <phoneticPr fontId="2"/>
  </si>
  <si>
    <t>回避修正</t>
    <rPh sb="0" eb="2">
      <t>カイヒ</t>
    </rPh>
    <rPh sb="2" eb="4">
      <t>シュウセイ</t>
    </rPh>
    <phoneticPr fontId="2"/>
  </si>
  <si>
    <t>移動修正</t>
    <rPh sb="0" eb="2">
      <t>イドウ</t>
    </rPh>
    <rPh sb="2" eb="4">
      <t>シュウセイ</t>
    </rPh>
    <phoneticPr fontId="2"/>
  </si>
  <si>
    <t>第六感判定</t>
    <rPh sb="0" eb="3">
      <t>ダイロッカン</t>
    </rPh>
    <rPh sb="3" eb="5">
      <t>ハンテイ</t>
    </rPh>
    <phoneticPr fontId="2"/>
  </si>
  <si>
    <t>体術判定</t>
    <rPh sb="0" eb="2">
      <t>タイジュツ</t>
    </rPh>
    <rPh sb="2" eb="4">
      <t>ハンテイ</t>
    </rPh>
    <phoneticPr fontId="2"/>
  </si>
  <si>
    <t>祖霊術行使判定修正</t>
    <rPh sb="0" eb="2">
      <t>ソレイ</t>
    </rPh>
    <rPh sb="2" eb="3">
      <t>ジュツ</t>
    </rPh>
    <rPh sb="3" eb="5">
      <t>コウシ</t>
    </rPh>
    <rPh sb="5" eb="7">
      <t>ハンテイ</t>
    </rPh>
    <rPh sb="7" eb="9">
      <t>シュウセイ</t>
    </rPh>
    <phoneticPr fontId="2"/>
  </si>
  <si>
    <t>精霊術行使判定修正</t>
    <rPh sb="0" eb="2">
      <t>セイレイ</t>
    </rPh>
    <rPh sb="2" eb="3">
      <t>ジュツ</t>
    </rPh>
    <rPh sb="3" eb="5">
      <t>コウシ</t>
    </rPh>
    <rPh sb="5" eb="7">
      <t>ハンテイ</t>
    </rPh>
    <rPh sb="7" eb="9">
      <t>シュウセイ</t>
    </rPh>
    <phoneticPr fontId="2"/>
  </si>
  <si>
    <t>◆防御</t>
    <rPh sb="1" eb="3">
      <t>ボウギョ</t>
    </rPh>
    <phoneticPr fontId="2"/>
  </si>
  <si>
    <t>体術ボーナス</t>
    <rPh sb="0" eb="2">
      <t>タイジュツ</t>
    </rPh>
    <phoneticPr fontId="2"/>
  </si>
  <si>
    <t>装甲値</t>
    <rPh sb="0" eb="2">
      <t>ソウコウ</t>
    </rPh>
    <rPh sb="2" eb="3">
      <t>チ</t>
    </rPh>
    <phoneticPr fontId="2"/>
  </si>
  <si>
    <t>隠密性</t>
    <rPh sb="0" eb="2">
      <t>オンミツ</t>
    </rPh>
    <rPh sb="2" eb="3">
      <t>セイ</t>
    </rPh>
    <phoneticPr fontId="2"/>
  </si>
  <si>
    <t>荷重x</t>
    <rPh sb="0" eb="2">
      <t>カジュウ</t>
    </rPh>
    <phoneticPr fontId="2"/>
  </si>
  <si>
    <t>荷重y</t>
    <rPh sb="0" eb="2">
      <t>カジュウ</t>
    </rPh>
    <phoneticPr fontId="2"/>
  </si>
  <si>
    <t>耐久荷重</t>
    <rPh sb="0" eb="2">
      <t>タイキュウ</t>
    </rPh>
    <rPh sb="2" eb="4">
      <t>カジュウ</t>
    </rPh>
    <phoneticPr fontId="2"/>
  </si>
  <si>
    <t>最終回避修正</t>
    <rPh sb="0" eb="2">
      <t>サイシュウ</t>
    </rPh>
    <rPh sb="2" eb="4">
      <t>カイヒ</t>
    </rPh>
    <rPh sb="4" eb="6">
      <t>シュウセイ</t>
    </rPh>
    <phoneticPr fontId="2"/>
  </si>
  <si>
    <t>最終移動修正</t>
    <rPh sb="0" eb="2">
      <t>サイシュウ</t>
    </rPh>
    <rPh sb="2" eb="4">
      <t>イドウ</t>
    </rPh>
    <rPh sb="4" eb="6">
      <t>シュウセイ</t>
    </rPh>
    <phoneticPr fontId="2"/>
  </si>
  <si>
    <t>副属性</t>
    <rPh sb="0" eb="1">
      <t>フク</t>
    </rPh>
    <rPh sb="1" eb="3">
      <t>ゾクセイ</t>
    </rPh>
    <phoneticPr fontId="2"/>
  </si>
  <si>
    <t>盾受け値</t>
    <rPh sb="0" eb="1">
      <t>タテ</t>
    </rPh>
    <rPh sb="1" eb="2">
      <t>ウ</t>
    </rPh>
    <rPh sb="3" eb="4">
      <t>チ</t>
    </rPh>
    <phoneticPr fontId="2"/>
  </si>
  <si>
    <t>盾受け修正</t>
    <rPh sb="0" eb="1">
      <t>タテ</t>
    </rPh>
    <rPh sb="1" eb="2">
      <t>ウ</t>
    </rPh>
    <rPh sb="3" eb="5">
      <t>シュウセイ</t>
    </rPh>
    <phoneticPr fontId="2"/>
  </si>
  <si>
    <t>所持品</t>
    <rPh sb="0" eb="2">
      <t>ショジ</t>
    </rPh>
    <rPh sb="2" eb="3">
      <t>ヒン</t>
    </rPh>
    <phoneticPr fontId="2"/>
  </si>
  <si>
    <t>追加装甲</t>
    <rPh sb="0" eb="2">
      <t>ツイカ</t>
    </rPh>
    <rPh sb="2" eb="4">
      <t>ソウコウ</t>
    </rPh>
    <phoneticPr fontId="2"/>
  </si>
  <si>
    <t>体力抵抗判定</t>
    <rPh sb="0" eb="2">
      <t>タイリョク</t>
    </rPh>
    <rPh sb="2" eb="4">
      <t>テイコウ</t>
    </rPh>
    <rPh sb="4" eb="6">
      <t>ハンテイ</t>
    </rPh>
    <phoneticPr fontId="2"/>
  </si>
  <si>
    <t>祖竜術行使判定修正</t>
    <rPh sb="0" eb="1">
      <t>ソ</t>
    </rPh>
    <rPh sb="1" eb="2">
      <t>リュウ</t>
    </rPh>
    <rPh sb="2" eb="3">
      <t>ジュツ</t>
    </rPh>
    <rPh sb="3" eb="5">
      <t>コウシ</t>
    </rPh>
    <rPh sb="5" eb="7">
      <t>ハンテイ</t>
    </rPh>
    <rPh sb="7" eb="9">
      <t>シュウセイ</t>
    </rPh>
    <phoneticPr fontId="2"/>
  </si>
  <si>
    <t>経歴／出自</t>
    <rPh sb="0" eb="2">
      <t>ケイレキ</t>
    </rPh>
    <rPh sb="3" eb="5">
      <t>シュツジ</t>
    </rPh>
    <phoneticPr fontId="2"/>
  </si>
  <si>
    <t>出目</t>
    <rPh sb="0" eb="2">
      <t>デメ</t>
    </rPh>
    <phoneticPr fontId="2"/>
  </si>
  <si>
    <t>経歴／来歴</t>
    <rPh sb="0" eb="2">
      <t>ケイレキ</t>
    </rPh>
    <rPh sb="3" eb="5">
      <t>ライレキ</t>
    </rPh>
    <phoneticPr fontId="2"/>
  </si>
  <si>
    <t>経歴／邂逅</t>
    <rPh sb="0" eb="2">
      <t>ケイレキ</t>
    </rPh>
    <rPh sb="3" eb="5">
      <t>カイコウ</t>
    </rPh>
    <phoneticPr fontId="2"/>
  </si>
  <si>
    <t>冒険者になった動機</t>
    <rPh sb="0" eb="3">
      <t>ボウケンシャ</t>
    </rPh>
    <rPh sb="7" eb="9">
      <t>ドウキ</t>
    </rPh>
    <phoneticPr fontId="2"/>
  </si>
  <si>
    <t>ランダム</t>
    <phoneticPr fontId="2"/>
  </si>
  <si>
    <t>ボーナス</t>
    <phoneticPr fontId="2"/>
  </si>
  <si>
    <t>最終値</t>
    <rPh sb="0" eb="2">
      <t>サイシュウ</t>
    </rPh>
    <rPh sb="2" eb="3">
      <t>チ</t>
    </rPh>
    <phoneticPr fontId="2"/>
  </si>
  <si>
    <t>第一能力値</t>
    <rPh sb="0" eb="2">
      <t>ダイイチ</t>
    </rPh>
    <rPh sb="2" eb="5">
      <t>ノウリョクチ</t>
    </rPh>
    <phoneticPr fontId="2"/>
  </si>
  <si>
    <t>体力点</t>
    <rPh sb="0" eb="2">
      <t>タイリョク</t>
    </rPh>
    <rPh sb="2" eb="3">
      <t>テン</t>
    </rPh>
    <phoneticPr fontId="2"/>
  </si>
  <si>
    <t>魂魄点</t>
    <rPh sb="0" eb="2">
      <t>コンパク</t>
    </rPh>
    <rPh sb="2" eb="3">
      <t>テン</t>
    </rPh>
    <phoneticPr fontId="2"/>
  </si>
  <si>
    <t>技量点</t>
    <rPh sb="0" eb="2">
      <t>ギリョウ</t>
    </rPh>
    <rPh sb="2" eb="3">
      <t>テン</t>
    </rPh>
    <phoneticPr fontId="2"/>
  </si>
  <si>
    <t>第二能力</t>
    <rPh sb="0" eb="2">
      <t>ダイニ</t>
    </rPh>
    <rPh sb="2" eb="4">
      <t>ノウリョク</t>
    </rPh>
    <phoneticPr fontId="2"/>
  </si>
  <si>
    <t>集中度</t>
    <rPh sb="0" eb="3">
      <t>シュウチュウド</t>
    </rPh>
    <phoneticPr fontId="2"/>
  </si>
  <si>
    <t>持久度</t>
    <rPh sb="0" eb="2">
      <t>ジキュウ</t>
    </rPh>
    <rPh sb="2" eb="3">
      <t>ド</t>
    </rPh>
    <phoneticPr fontId="2"/>
  </si>
  <si>
    <t>反射度</t>
    <rPh sb="0" eb="2">
      <t>ハンシャ</t>
    </rPh>
    <rPh sb="2" eb="3">
      <t>ド</t>
    </rPh>
    <phoneticPr fontId="2"/>
  </si>
  <si>
    <t>　　　　┌───┬───┬───┬───┐</t>
  </si>
  <si>
    <t>　　　　│体力点│魂魄点│技量点│知力点│</t>
  </si>
  <si>
    <t>┌───┼───┼───┼───┼───┤</t>
  </si>
  <si>
    <t>│集中度│　　　│　　　│　　　│　　　│</t>
  </si>
  <si>
    <t>├───┼───┼───┼───┼───┤</t>
  </si>
  <si>
    <t>│持久度│　　　│　　　│　　　│　　　│</t>
  </si>
  <si>
    <t>│反射度│　　　│　　　│　　　│　　　│</t>
  </si>
  <si>
    <t>└───┴───┴───┴───┴───┘</t>
  </si>
  <si>
    <t>鎧の修正</t>
    <rPh sb="0" eb="1">
      <t>ヨロイ</t>
    </rPh>
    <rPh sb="2" eb="4">
      <t>シュウセイ</t>
    </rPh>
    <phoneticPr fontId="2"/>
  </si>
  <si>
    <t>武器の修正</t>
    <rPh sb="0" eb="2">
      <t>ブキ</t>
    </rPh>
    <rPh sb="3" eb="5">
      <t>シュウセイ</t>
    </rPh>
    <phoneticPr fontId="2"/>
  </si>
  <si>
    <t>道具の修正</t>
    <rPh sb="0" eb="2">
      <t>ドウグ</t>
    </rPh>
    <rPh sb="3" eb="5">
      <t>シュウセイ</t>
    </rPh>
    <phoneticPr fontId="2"/>
  </si>
  <si>
    <t>盾の修正</t>
    <rPh sb="0" eb="1">
      <t>タテ</t>
    </rPh>
    <rPh sb="2" eb="4">
      <t>シュウセイ</t>
    </rPh>
    <phoneticPr fontId="2"/>
  </si>
  <si>
    <t>冒険者Lv</t>
    <rPh sb="0" eb="3">
      <t>ボウケンシャ</t>
    </rPh>
    <phoneticPr fontId="2"/>
  </si>
  <si>
    <t>免疫強化</t>
    <rPh sb="0" eb="2">
      <t>メンエキ</t>
    </rPh>
    <rPh sb="2" eb="4">
      <t>キョウカ</t>
    </rPh>
    <phoneticPr fontId="2"/>
  </si>
  <si>
    <t>沈着冷静</t>
    <rPh sb="0" eb="2">
      <t>チンチャク</t>
    </rPh>
    <rPh sb="2" eb="4">
      <t>レイセイ</t>
    </rPh>
    <phoneticPr fontId="2"/>
  </si>
  <si>
    <t>戦士or武道家Lv</t>
    <rPh sb="0" eb="2">
      <t>センシ</t>
    </rPh>
    <rPh sb="4" eb="7">
      <t>ブドウカ</t>
    </rPh>
    <phoneticPr fontId="2"/>
  </si>
  <si>
    <t>荷重行動</t>
    <rPh sb="0" eb="2">
      <t>カジュウ</t>
    </rPh>
    <rPh sb="2" eb="4">
      <t>コウドウ</t>
    </rPh>
    <phoneticPr fontId="2"/>
  </si>
  <si>
    <t>体術</t>
    <rPh sb="0" eb="2">
      <t>タイジュツ</t>
    </rPh>
    <phoneticPr fontId="2"/>
  </si>
  <si>
    <t>野伏or斥候Lv</t>
    <rPh sb="0" eb="2">
      <t>ノブセ</t>
    </rPh>
    <rPh sb="4" eb="6">
      <t>セッコウ</t>
    </rPh>
    <phoneticPr fontId="2"/>
  </si>
  <si>
    <t>武道家or野伏or斥候Lv</t>
    <rPh sb="0" eb="3">
      <t>ブドウカ</t>
    </rPh>
    <rPh sb="5" eb="7">
      <t>ノブセ</t>
    </rPh>
    <rPh sb="9" eb="11">
      <t>セッコウ</t>
    </rPh>
    <phoneticPr fontId="2"/>
  </si>
  <si>
    <t>野伏or神官or竜司祭Lv</t>
    <rPh sb="0" eb="2">
      <t>ノブセ</t>
    </rPh>
    <rPh sb="4" eb="6">
      <t>シンカン</t>
    </rPh>
    <rPh sb="8" eb="9">
      <t>リュウ</t>
    </rPh>
    <rPh sb="9" eb="11">
      <t>シサイ</t>
    </rPh>
    <phoneticPr fontId="2"/>
  </si>
  <si>
    <t>手仕事</t>
    <rPh sb="0" eb="3">
      <t>テシゴト</t>
    </rPh>
    <phoneticPr fontId="2"/>
  </si>
  <si>
    <t>呪文遣い系Lv</t>
    <rPh sb="0" eb="2">
      <t>ジュモン</t>
    </rPh>
    <rPh sb="2" eb="3">
      <t>ツカ</t>
    </rPh>
    <rPh sb="4" eb="5">
      <t>ケイ</t>
    </rPh>
    <phoneticPr fontId="2"/>
  </si>
  <si>
    <t>魔術師Lv</t>
    <rPh sb="0" eb="3">
      <t>マジュツシ</t>
    </rPh>
    <phoneticPr fontId="2"/>
  </si>
  <si>
    <t>観察</t>
    <rPh sb="0" eb="2">
      <t>カンサツ</t>
    </rPh>
    <phoneticPr fontId="2"/>
  </si>
  <si>
    <t>野伏Lv</t>
    <rPh sb="0" eb="2">
      <t>ノブセ</t>
    </rPh>
    <phoneticPr fontId="2"/>
  </si>
  <si>
    <t>生存術</t>
    <rPh sb="0" eb="2">
      <t>セイゾン</t>
    </rPh>
    <rPh sb="2" eb="3">
      <t>ジュツ</t>
    </rPh>
    <phoneticPr fontId="2"/>
  </si>
  <si>
    <t>挑発</t>
  </si>
  <si>
    <t>挑発</t>
    <rPh sb="0" eb="2">
      <t>チョウハツ</t>
    </rPh>
    <phoneticPr fontId="2"/>
  </si>
  <si>
    <t>戦士Lv</t>
    <phoneticPr fontId="2"/>
  </si>
  <si>
    <t>鉄壁</t>
    <rPh sb="0" eb="2">
      <t>テッペキ</t>
    </rPh>
    <phoneticPr fontId="2"/>
  </si>
  <si>
    <t>体力集中or技量集中</t>
    <rPh sb="0" eb="2">
      <t>タイリョク</t>
    </rPh>
    <rPh sb="2" eb="4">
      <t>シュウチュウ</t>
    </rPh>
    <rPh sb="6" eb="8">
      <t>ギリョウ</t>
    </rPh>
    <rPh sb="8" eb="10">
      <t>シュウチュウ</t>
    </rPh>
    <phoneticPr fontId="2"/>
  </si>
  <si>
    <t>戦士or武道家or斥候Lv</t>
    <rPh sb="0" eb="2">
      <t>センシ</t>
    </rPh>
    <rPh sb="4" eb="7">
      <t>ブドウカ</t>
    </rPh>
    <rPh sb="9" eb="11">
      <t>セッコウ</t>
    </rPh>
    <phoneticPr fontId="2"/>
  </si>
  <si>
    <t>状態基本値</t>
    <rPh sb="0" eb="2">
      <t>ジョウタイ</t>
    </rPh>
    <rPh sb="2" eb="4">
      <t>キホン</t>
    </rPh>
    <rPh sb="4" eb="5">
      <t>チ</t>
    </rPh>
    <phoneticPr fontId="2"/>
  </si>
  <si>
    <t>状態補正値</t>
    <rPh sb="0" eb="2">
      <t>ジョウタイ</t>
    </rPh>
    <rPh sb="2" eb="5">
      <t>ホセイチ</t>
    </rPh>
    <phoneticPr fontId="2"/>
  </si>
  <si>
    <t>移動力種族倍率</t>
    <rPh sb="0" eb="2">
      <t>イドウ</t>
    </rPh>
    <rPh sb="2" eb="3">
      <t>リョク</t>
    </rPh>
    <rPh sb="3" eb="5">
      <t>シュゾク</t>
    </rPh>
    <rPh sb="5" eb="7">
      <t>バイリツ</t>
    </rPh>
    <phoneticPr fontId="2"/>
  </si>
  <si>
    <t>状態</t>
    <rPh sb="0" eb="2">
      <t>ジョウタイ</t>
    </rPh>
    <phoneticPr fontId="2"/>
  </si>
  <si>
    <t>基本値</t>
    <rPh sb="0" eb="2">
      <t>キホン</t>
    </rPh>
    <rPh sb="2" eb="3">
      <t>チ</t>
    </rPh>
    <phoneticPr fontId="2"/>
  </si>
  <si>
    <t>技能修正</t>
    <rPh sb="0" eb="2">
      <t>ギノウ</t>
    </rPh>
    <rPh sb="2" eb="4">
      <t>シュウセイ</t>
    </rPh>
    <phoneticPr fontId="2"/>
  </si>
  <si>
    <t>生命力</t>
    <rPh sb="0" eb="3">
      <t>セイメイリョク</t>
    </rPh>
    <phoneticPr fontId="2"/>
  </si>
  <si>
    <t>移動力</t>
    <rPh sb="0" eb="2">
      <t>イドウ</t>
    </rPh>
    <rPh sb="2" eb="3">
      <t>リョク</t>
    </rPh>
    <phoneticPr fontId="2"/>
  </si>
  <si>
    <t>呪文使用回数</t>
    <rPh sb="0" eb="2">
      <t>ジュモン</t>
    </rPh>
    <rPh sb="2" eb="4">
      <t>シヨウ</t>
    </rPh>
    <rPh sb="4" eb="6">
      <t>カイスウ</t>
    </rPh>
    <phoneticPr fontId="2"/>
  </si>
  <si>
    <t>生命力x2</t>
    <rPh sb="0" eb="3">
      <t>セイメイリョク</t>
    </rPh>
    <phoneticPr fontId="2"/>
  </si>
  <si>
    <t>呪文抵抗基準値</t>
    <rPh sb="0" eb="2">
      <t>ジュモン</t>
    </rPh>
    <rPh sb="2" eb="4">
      <t>テイコウ</t>
    </rPh>
    <rPh sb="4" eb="7">
      <t>キジュンチ</t>
    </rPh>
    <phoneticPr fontId="2"/>
  </si>
  <si>
    <t>真言呪文行使基準値</t>
    <rPh sb="0" eb="2">
      <t>シンゴン</t>
    </rPh>
    <rPh sb="2" eb="4">
      <t>ジュモン</t>
    </rPh>
    <rPh sb="4" eb="6">
      <t>コウシ</t>
    </rPh>
    <rPh sb="6" eb="9">
      <t>キジュンチ</t>
    </rPh>
    <phoneticPr fontId="2"/>
  </si>
  <si>
    <t>奇跡行使基準値</t>
    <rPh sb="0" eb="2">
      <t>キセキ</t>
    </rPh>
    <rPh sb="2" eb="4">
      <t>コウシ</t>
    </rPh>
    <rPh sb="4" eb="7">
      <t>キジュンチ</t>
    </rPh>
    <phoneticPr fontId="2"/>
  </si>
  <si>
    <t>祖霊術行使基準値</t>
    <rPh sb="0" eb="2">
      <t>ソレイ</t>
    </rPh>
    <rPh sb="2" eb="3">
      <t>ジュツ</t>
    </rPh>
    <rPh sb="3" eb="5">
      <t>コウシ</t>
    </rPh>
    <rPh sb="5" eb="8">
      <t>キジュンチ</t>
    </rPh>
    <phoneticPr fontId="2"/>
  </si>
  <si>
    <t>精霊術行使基準値</t>
    <rPh sb="0" eb="2">
      <t>セイレイ</t>
    </rPh>
    <rPh sb="2" eb="3">
      <t>ジュツ</t>
    </rPh>
    <rPh sb="3" eb="5">
      <t>コウシ</t>
    </rPh>
    <rPh sb="5" eb="8">
      <t>キジュンチ</t>
    </rPh>
    <phoneticPr fontId="2"/>
  </si>
  <si>
    <t>最大呪文行使基準値</t>
    <rPh sb="0" eb="2">
      <t>サイダイ</t>
    </rPh>
    <rPh sb="2" eb="4">
      <t>ジュモン</t>
    </rPh>
    <rPh sb="4" eb="6">
      <t>コウシ</t>
    </rPh>
    <rPh sb="6" eb="9">
      <t>キジュンチ</t>
    </rPh>
    <phoneticPr fontId="2"/>
  </si>
  <si>
    <t>戦士命中基準値</t>
    <rPh sb="0" eb="2">
      <t>センシ</t>
    </rPh>
    <rPh sb="2" eb="4">
      <t>メイチュウ</t>
    </rPh>
    <rPh sb="4" eb="7">
      <t>キジュンチ</t>
    </rPh>
    <phoneticPr fontId="2"/>
  </si>
  <si>
    <t>武道家命中基準値</t>
    <rPh sb="0" eb="3">
      <t>ブドウカ</t>
    </rPh>
    <rPh sb="3" eb="5">
      <t>メイチュウ</t>
    </rPh>
    <rPh sb="5" eb="8">
      <t>キジュンチ</t>
    </rPh>
    <phoneticPr fontId="2"/>
  </si>
  <si>
    <t>野伏命中基準値</t>
    <rPh sb="0" eb="2">
      <t>ノブセ</t>
    </rPh>
    <rPh sb="2" eb="4">
      <t>メイチュウ</t>
    </rPh>
    <rPh sb="4" eb="7">
      <t>キジュンチ</t>
    </rPh>
    <phoneticPr fontId="2"/>
  </si>
  <si>
    <t>斥候命中基準値</t>
    <rPh sb="0" eb="2">
      <t>セッコウ</t>
    </rPh>
    <rPh sb="2" eb="4">
      <t>メイチュウ</t>
    </rPh>
    <rPh sb="4" eb="7">
      <t>キジュンチ</t>
    </rPh>
    <phoneticPr fontId="2"/>
  </si>
  <si>
    <t>近接命中基準値</t>
    <rPh sb="0" eb="2">
      <t>キンセツ</t>
    </rPh>
    <rPh sb="2" eb="4">
      <t>メイチュウ</t>
    </rPh>
    <rPh sb="4" eb="7">
      <t>キジュンチ</t>
    </rPh>
    <phoneticPr fontId="2"/>
  </si>
  <si>
    <t>投擲命中基準値</t>
    <rPh sb="0" eb="2">
      <t>トウテキ</t>
    </rPh>
    <rPh sb="2" eb="4">
      <t>メイチュウ</t>
    </rPh>
    <rPh sb="4" eb="7">
      <t>キジュンチ</t>
    </rPh>
    <phoneticPr fontId="2"/>
  </si>
  <si>
    <t>弩級命中基準値</t>
    <rPh sb="0" eb="1">
      <t>ド</t>
    </rPh>
    <rPh sb="1" eb="2">
      <t>キュウ</t>
    </rPh>
    <rPh sb="2" eb="4">
      <t>メイチュウ</t>
    </rPh>
    <rPh sb="4" eb="7">
      <t>キジュンチ</t>
    </rPh>
    <phoneticPr fontId="2"/>
  </si>
  <si>
    <t>回避基準値</t>
    <rPh sb="0" eb="2">
      <t>カイヒ</t>
    </rPh>
    <rPh sb="2" eb="5">
      <t>キジュンチ</t>
    </rPh>
    <phoneticPr fontId="2"/>
  </si>
  <si>
    <t>戦士回避基準値</t>
    <rPh sb="0" eb="2">
      <t>センシ</t>
    </rPh>
    <rPh sb="2" eb="4">
      <t>カイヒ</t>
    </rPh>
    <rPh sb="4" eb="7">
      <t>キジュンチ</t>
    </rPh>
    <phoneticPr fontId="2"/>
  </si>
  <si>
    <t>武道家回避基準値</t>
    <rPh sb="0" eb="3">
      <t>ブドウカ</t>
    </rPh>
    <rPh sb="3" eb="5">
      <t>カイヒ</t>
    </rPh>
    <rPh sb="5" eb="8">
      <t>キジュンチ</t>
    </rPh>
    <phoneticPr fontId="2"/>
  </si>
  <si>
    <t>斥候回避基準値</t>
    <rPh sb="0" eb="2">
      <t>セッコウ</t>
    </rPh>
    <rPh sb="2" eb="4">
      <t>カイヒ</t>
    </rPh>
    <rPh sb="4" eb="7">
      <t>キジュンチ</t>
    </rPh>
    <phoneticPr fontId="2"/>
  </si>
  <si>
    <t>最大回避基準値</t>
    <rPh sb="0" eb="2">
      <t>サイダイ</t>
    </rPh>
    <rPh sb="2" eb="4">
      <t>カイヒ</t>
    </rPh>
    <rPh sb="4" eb="7">
      <t>キジュンチ</t>
    </rPh>
    <phoneticPr fontId="2"/>
  </si>
  <si>
    <t>戦士盾受け基準値</t>
    <rPh sb="0" eb="2">
      <t>センシ</t>
    </rPh>
    <rPh sb="2" eb="3">
      <t>タテ</t>
    </rPh>
    <rPh sb="3" eb="4">
      <t>ウ</t>
    </rPh>
    <rPh sb="5" eb="8">
      <t>キジュンチ</t>
    </rPh>
    <phoneticPr fontId="2"/>
  </si>
  <si>
    <t>斥候盾受け基準値</t>
    <rPh sb="0" eb="2">
      <t>セッコウ</t>
    </rPh>
    <rPh sb="2" eb="3">
      <t>タテ</t>
    </rPh>
    <rPh sb="3" eb="4">
      <t>ウ</t>
    </rPh>
    <rPh sb="5" eb="8">
      <t>キジュンチ</t>
    </rPh>
    <phoneticPr fontId="2"/>
  </si>
  <si>
    <t>最大盾受け基準値</t>
    <rPh sb="0" eb="2">
      <t>サイダイ</t>
    </rPh>
    <rPh sb="2" eb="3">
      <t>タテ</t>
    </rPh>
    <rPh sb="3" eb="4">
      <t>ウ</t>
    </rPh>
    <rPh sb="5" eb="8">
      <t>キジュンチ</t>
    </rPh>
    <phoneticPr fontId="2"/>
  </si>
  <si>
    <t>冒険者職業レベル</t>
    <rPh sb="0" eb="3">
      <t>ボウケンシャ</t>
    </rPh>
    <rPh sb="3" eb="5">
      <t>ショクギョウ</t>
    </rPh>
    <phoneticPr fontId="2"/>
  </si>
  <si>
    <t>出自ボーナス</t>
    <rPh sb="0" eb="2">
      <t>シュツジ</t>
    </rPh>
    <phoneticPr fontId="2"/>
  </si>
  <si>
    <t>現在レベル</t>
    <rPh sb="0" eb="2">
      <t>ゲンザイ</t>
    </rPh>
    <phoneticPr fontId="2"/>
  </si>
  <si>
    <t>消費経験値</t>
    <rPh sb="0" eb="2">
      <t>ショウヒ</t>
    </rPh>
    <rPh sb="2" eb="5">
      <t>ケイケンチ</t>
    </rPh>
    <phoneticPr fontId="2"/>
  </si>
  <si>
    <t>ü</t>
    <phoneticPr fontId="2"/>
  </si>
  <si>
    <t>戦士(出自ボーナス)</t>
  </si>
  <si>
    <t>武道家</t>
    <rPh sb="0" eb="3">
      <t>ブドウカ</t>
    </rPh>
    <phoneticPr fontId="2"/>
  </si>
  <si>
    <t>武道家(出自ボーナス)</t>
  </si>
  <si>
    <t>野伏</t>
    <rPh sb="0" eb="2">
      <t>ノブセ</t>
    </rPh>
    <phoneticPr fontId="2"/>
  </si>
  <si>
    <t>野伏(出自ボーナス)</t>
  </si>
  <si>
    <t>斥候</t>
    <rPh sb="0" eb="2">
      <t>セッコウ</t>
    </rPh>
    <phoneticPr fontId="2"/>
  </si>
  <si>
    <t>斥候(出自ボーナス)</t>
  </si>
  <si>
    <t>魔術師</t>
    <rPh sb="0" eb="3">
      <t>マジュツシ</t>
    </rPh>
    <phoneticPr fontId="2"/>
  </si>
  <si>
    <t>魔術師(出自ボーナス)</t>
  </si>
  <si>
    <t>神官</t>
    <rPh sb="0" eb="2">
      <t>シンカン</t>
    </rPh>
    <phoneticPr fontId="2"/>
  </si>
  <si>
    <t>神官(出自ボーナス)</t>
  </si>
  <si>
    <t>竜司祭</t>
    <rPh sb="0" eb="1">
      <t>リュウ</t>
    </rPh>
    <rPh sb="1" eb="3">
      <t>シサイ</t>
    </rPh>
    <phoneticPr fontId="2"/>
  </si>
  <si>
    <t>竜司祭(出自ボーナス)</t>
  </si>
  <si>
    <t>精霊使い</t>
    <rPh sb="0" eb="2">
      <t>セイレイ</t>
    </rPh>
    <rPh sb="2" eb="3">
      <t>ツカ</t>
    </rPh>
    <phoneticPr fontId="2"/>
  </si>
  <si>
    <t>冒険者情報</t>
    <rPh sb="0" eb="3">
      <t>ボウケンシャ</t>
    </rPh>
    <rPh sb="3" eb="5">
      <t>ジョウホウ</t>
    </rPh>
    <phoneticPr fontId="2"/>
  </si>
  <si>
    <t>累積経験値</t>
    <rPh sb="0" eb="2">
      <t>ルイセキ</t>
    </rPh>
    <rPh sb="2" eb="5">
      <t>ケイケンチ</t>
    </rPh>
    <phoneticPr fontId="2"/>
  </si>
  <si>
    <t>現在経験値</t>
    <rPh sb="0" eb="2">
      <t>ゲンザイ</t>
    </rPh>
    <rPh sb="2" eb="5">
      <t>ケイケンチ</t>
    </rPh>
    <phoneticPr fontId="2"/>
  </si>
  <si>
    <t>累積成長点</t>
    <rPh sb="0" eb="2">
      <t>ルイセキ</t>
    </rPh>
    <rPh sb="2" eb="4">
      <t>セイチョウ</t>
    </rPh>
    <rPh sb="4" eb="5">
      <t>テン</t>
    </rPh>
    <phoneticPr fontId="2"/>
  </si>
  <si>
    <t>消費成長点</t>
    <rPh sb="0" eb="2">
      <t>ショウヒ</t>
    </rPh>
    <rPh sb="2" eb="4">
      <t>セイチョウ</t>
    </rPh>
    <rPh sb="4" eb="5">
      <t>テン</t>
    </rPh>
    <phoneticPr fontId="2"/>
  </si>
  <si>
    <t>現在成長点</t>
    <rPh sb="0" eb="2">
      <t>ゲンザイ</t>
    </rPh>
    <rPh sb="2" eb="4">
      <t>セイチョウ</t>
    </rPh>
    <rPh sb="4" eb="5">
      <t>テン</t>
    </rPh>
    <phoneticPr fontId="2"/>
  </si>
  <si>
    <t>冒険者レベル</t>
    <rPh sb="0" eb="3">
      <t>ボウケンシャ</t>
    </rPh>
    <phoneticPr fontId="2"/>
  </si>
  <si>
    <t>習得可能習熟段階</t>
    <rPh sb="0" eb="2">
      <t>シュウトク</t>
    </rPh>
    <rPh sb="2" eb="4">
      <t>カノウ</t>
    </rPh>
    <rPh sb="4" eb="6">
      <t>シュウジュク</t>
    </rPh>
    <rPh sb="6" eb="8">
      <t>ダンカイ</t>
    </rPh>
    <phoneticPr fontId="2"/>
  </si>
  <si>
    <t>習得中最大習熟段階</t>
    <rPh sb="0" eb="3">
      <t>シュウトクチュウ</t>
    </rPh>
    <rPh sb="3" eb="5">
      <t>サイダイ</t>
    </rPh>
    <rPh sb="5" eb="7">
      <t>シュウジュク</t>
    </rPh>
    <rPh sb="7" eb="9">
      <t>ダンカイ</t>
    </rPh>
    <phoneticPr fontId="2"/>
  </si>
  <si>
    <t>消耗ゲージ長1</t>
    <rPh sb="0" eb="2">
      <t>ショウモウ</t>
    </rPh>
    <rPh sb="5" eb="6">
      <t>チョウ</t>
    </rPh>
    <phoneticPr fontId="2"/>
  </si>
  <si>
    <t>消耗ゲージ長2</t>
    <rPh sb="0" eb="2">
      <t>ショウモウ</t>
    </rPh>
    <rPh sb="5" eb="6">
      <t>チョウ</t>
    </rPh>
    <phoneticPr fontId="2"/>
  </si>
  <si>
    <t>消耗ゲージ長3</t>
    <rPh sb="0" eb="2">
      <t>ショウモウ</t>
    </rPh>
    <rPh sb="5" eb="6">
      <t>チョウ</t>
    </rPh>
    <phoneticPr fontId="2"/>
  </si>
  <si>
    <t>消耗ゲージ長4</t>
    <rPh sb="0" eb="2">
      <t>ショウモウ</t>
    </rPh>
    <rPh sb="5" eb="6">
      <t>チョウ</t>
    </rPh>
    <phoneticPr fontId="2"/>
  </si>
  <si>
    <t>消耗ゲージ長5</t>
    <rPh sb="0" eb="2">
      <t>ショウモウ</t>
    </rPh>
    <rPh sb="5" eb="6">
      <t>チョウ</t>
    </rPh>
    <phoneticPr fontId="2"/>
  </si>
  <si>
    <t>真言呪文習得可能数</t>
    <rPh sb="0" eb="4">
      <t>シンゴンジュモン</t>
    </rPh>
    <rPh sb="4" eb="6">
      <t>シュウトク</t>
    </rPh>
    <rPh sb="6" eb="8">
      <t>カノウ</t>
    </rPh>
    <rPh sb="8" eb="9">
      <t>スウ</t>
    </rPh>
    <phoneticPr fontId="2"/>
  </si>
  <si>
    <t>奇跡習得可能数</t>
    <rPh sb="0" eb="2">
      <t>キセキ</t>
    </rPh>
    <rPh sb="2" eb="4">
      <t>シュウトク</t>
    </rPh>
    <rPh sb="4" eb="6">
      <t>カノウ</t>
    </rPh>
    <rPh sb="6" eb="7">
      <t>スウ</t>
    </rPh>
    <phoneticPr fontId="2"/>
  </si>
  <si>
    <t>祖霊術習得可能数</t>
    <rPh sb="0" eb="2">
      <t>ソレイ</t>
    </rPh>
    <rPh sb="2" eb="3">
      <t>ジュツ</t>
    </rPh>
    <rPh sb="3" eb="5">
      <t>シュウトク</t>
    </rPh>
    <rPh sb="5" eb="7">
      <t>カノウ</t>
    </rPh>
    <rPh sb="7" eb="8">
      <t>スウ</t>
    </rPh>
    <phoneticPr fontId="2"/>
  </si>
  <si>
    <t>精霊術習得可能数</t>
    <rPh sb="0" eb="2">
      <t>セイレイ</t>
    </rPh>
    <rPh sb="2" eb="3">
      <t>ジュツ</t>
    </rPh>
    <rPh sb="3" eb="5">
      <t>シュウトク</t>
    </rPh>
    <rPh sb="5" eb="7">
      <t>カノウ</t>
    </rPh>
    <rPh sb="7" eb="8">
      <t>スウ</t>
    </rPh>
    <phoneticPr fontId="2"/>
  </si>
  <si>
    <t>冒険達成回数</t>
    <phoneticPr fontId="2"/>
  </si>
  <si>
    <t>冒険回数</t>
    <rPh sb="0" eb="2">
      <t>ボウケン</t>
    </rPh>
    <rPh sb="2" eb="4">
      <t>カイスウ</t>
    </rPh>
    <phoneticPr fontId="2"/>
  </si>
  <si>
    <t>クラス情報</t>
    <rPh sb="3" eb="5">
      <t>ジョウホウ</t>
    </rPh>
    <phoneticPr fontId="2"/>
  </si>
  <si>
    <t>作成シートからのコピー</t>
    <rPh sb="0" eb="2">
      <t>サクセイ</t>
    </rPh>
    <phoneticPr fontId="2"/>
  </si>
  <si>
    <t>冒険者職業</t>
    <rPh sb="0" eb="3">
      <t>ボウケンシャ</t>
    </rPh>
    <rPh sb="3" eb="5">
      <t>ショクギョウ</t>
    </rPh>
    <phoneticPr fontId="2"/>
  </si>
  <si>
    <t>レベル</t>
    <phoneticPr fontId="2"/>
  </si>
  <si>
    <t>習得呪文</t>
    <rPh sb="0" eb="2">
      <t>シュウトク</t>
    </rPh>
    <rPh sb="2" eb="4">
      <t>ジュモン</t>
    </rPh>
    <phoneticPr fontId="2"/>
  </si>
  <si>
    <t>種別</t>
    <rPh sb="0" eb="2">
      <t>シュベツ</t>
    </rPh>
    <phoneticPr fontId="2"/>
  </si>
  <si>
    <t>難易度</t>
    <rPh sb="0" eb="3">
      <t>ナンイド</t>
    </rPh>
    <phoneticPr fontId="2"/>
  </si>
  <si>
    <t>参照項</t>
    <rPh sb="0" eb="2">
      <t>サンショウ</t>
    </rPh>
    <rPh sb="2" eb="3">
      <t>コウ</t>
    </rPh>
    <phoneticPr fontId="2"/>
  </si>
  <si>
    <t>冒険者技能</t>
    <rPh sb="0" eb="3">
      <t>ボウケンシャ</t>
    </rPh>
    <rPh sb="3" eb="5">
      <t>ギノウ</t>
    </rPh>
    <phoneticPr fontId="2"/>
  </si>
  <si>
    <t>出自・来歴ボーナス</t>
    <rPh sb="0" eb="2">
      <t>シュツジ</t>
    </rPh>
    <rPh sb="3" eb="5">
      <t>ライレキ</t>
    </rPh>
    <phoneticPr fontId="2"/>
  </si>
  <si>
    <t>習熟段階</t>
    <rPh sb="0" eb="2">
      <t>シュウジュク</t>
    </rPh>
    <rPh sb="2" eb="4">
      <t>ダンカイ</t>
    </rPh>
    <phoneticPr fontId="2"/>
  </si>
  <si>
    <t>消費成長点</t>
    <rPh sb="0" eb="2">
      <t>ショウヒ</t>
    </rPh>
    <rPh sb="2" eb="5">
      <t>セイチョウテン</t>
    </rPh>
    <phoneticPr fontId="2"/>
  </si>
  <si>
    <t>簡易表示</t>
    <rPh sb="0" eb="2">
      <t>カンイ</t>
    </rPh>
    <rPh sb="2" eb="4">
      <t>ヒョウジ</t>
    </rPh>
    <phoneticPr fontId="2"/>
  </si>
  <si>
    <t>受身</t>
    <rPh sb="0" eb="2">
      <t>ウケミ</t>
    </rPh>
    <phoneticPr fontId="2"/>
  </si>
  <si>
    <t>共通</t>
    <rPh sb="0" eb="2">
      <t>キョウツウ</t>
    </rPh>
    <phoneticPr fontId="2"/>
  </si>
  <si>
    <t>252項</t>
    <rPh sb="3" eb="4">
      <t>コウ</t>
    </rPh>
    <phoneticPr fontId="2"/>
  </si>
  <si>
    <t>253項</t>
    <rPh sb="3" eb="4">
      <t>コウ</t>
    </rPh>
    <phoneticPr fontId="2"/>
  </si>
  <si>
    <t>254項</t>
    <rPh sb="3" eb="4">
      <t>コウ</t>
    </rPh>
    <phoneticPr fontId="2"/>
  </si>
  <si>
    <t>頑健</t>
    <rPh sb="0" eb="2">
      <t>ガンケン</t>
    </rPh>
    <phoneticPr fontId="2"/>
  </si>
  <si>
    <t>249項</t>
    <rPh sb="3" eb="4">
      <t>コウ</t>
    </rPh>
    <phoneticPr fontId="2"/>
  </si>
  <si>
    <t>幸運</t>
    <rPh sb="0" eb="2">
      <t>コウウン</t>
    </rPh>
    <phoneticPr fontId="2"/>
  </si>
  <si>
    <t>250項</t>
    <rPh sb="3" eb="4">
      <t>コウ</t>
    </rPh>
    <phoneticPr fontId="2"/>
  </si>
  <si>
    <t>戦術移動</t>
    <rPh sb="0" eb="2">
      <t>センジュツ</t>
    </rPh>
    <rPh sb="2" eb="4">
      <t>イドウ</t>
    </rPh>
    <phoneticPr fontId="2"/>
  </si>
  <si>
    <t>251項</t>
    <rPh sb="3" eb="4">
      <t>コウ</t>
    </rPh>
    <phoneticPr fontId="2"/>
  </si>
  <si>
    <t>255項</t>
    <rPh sb="3" eb="4">
      <t>コウ</t>
    </rPh>
    <phoneticPr fontId="2"/>
  </si>
  <si>
    <t>治癒適正</t>
    <rPh sb="0" eb="2">
      <t>チユ</t>
    </rPh>
    <rPh sb="2" eb="4">
      <t>テキセイ</t>
    </rPh>
    <phoneticPr fontId="2"/>
  </si>
  <si>
    <t>忍耐</t>
    <rPh sb="0" eb="2">
      <t>ニンタイ</t>
    </rPh>
    <phoneticPr fontId="2"/>
  </si>
  <si>
    <t>戦士系職業向け</t>
    <rPh sb="0" eb="2">
      <t>センシ</t>
    </rPh>
    <rPh sb="2" eb="3">
      <t>ケイ</t>
    </rPh>
    <rPh sb="3" eb="5">
      <t>ショクギョウ</t>
    </rPh>
    <rPh sb="5" eb="6">
      <t>ム</t>
    </rPh>
    <phoneticPr fontId="2"/>
  </si>
  <si>
    <t>261項</t>
    <rPh sb="3" eb="4">
      <t>コウ</t>
    </rPh>
    <phoneticPr fontId="2"/>
  </si>
  <si>
    <t>258項</t>
    <rPh sb="3" eb="4">
      <t>コウ</t>
    </rPh>
    <phoneticPr fontId="2"/>
  </si>
  <si>
    <t>強打攻撃・斬</t>
    <rPh sb="0" eb="2">
      <t>キョウダ</t>
    </rPh>
    <rPh sb="2" eb="4">
      <t>コウゲキ</t>
    </rPh>
    <rPh sb="5" eb="6">
      <t>ザン</t>
    </rPh>
    <phoneticPr fontId="2"/>
  </si>
  <si>
    <t>262項</t>
    <rPh sb="3" eb="4">
      <t>コウ</t>
    </rPh>
    <phoneticPr fontId="2"/>
  </si>
  <si>
    <t>強打攻撃・殴</t>
    <rPh sb="0" eb="2">
      <t>キョウダ</t>
    </rPh>
    <rPh sb="2" eb="4">
      <t>コウゲキ</t>
    </rPh>
    <rPh sb="5" eb="6">
      <t>ナグ</t>
    </rPh>
    <phoneticPr fontId="2"/>
  </si>
  <si>
    <t>263項</t>
    <rPh sb="3" eb="4">
      <t>コウ</t>
    </rPh>
    <phoneticPr fontId="2"/>
  </si>
  <si>
    <t>曲射</t>
    <rPh sb="0" eb="1">
      <t>キョク</t>
    </rPh>
    <rPh sb="1" eb="2">
      <t>シャ</t>
    </rPh>
    <phoneticPr fontId="2"/>
  </si>
  <si>
    <t>266項</t>
    <rPh sb="3" eb="4">
      <t>コウ</t>
    </rPh>
    <phoneticPr fontId="2"/>
  </si>
  <si>
    <t>斬落攻撃</t>
    <rPh sb="0" eb="1">
      <t>キ</t>
    </rPh>
    <rPh sb="1" eb="2">
      <t>オ</t>
    </rPh>
    <rPh sb="2" eb="4">
      <t>コウゲキ</t>
    </rPh>
    <phoneticPr fontId="2"/>
  </si>
  <si>
    <t>264項</t>
    <rPh sb="3" eb="4">
      <t>コウ</t>
    </rPh>
    <phoneticPr fontId="2"/>
  </si>
  <si>
    <t>拘束攻撃</t>
    <rPh sb="0" eb="2">
      <t>コウソク</t>
    </rPh>
    <rPh sb="2" eb="4">
      <t>コウゲキ</t>
    </rPh>
    <phoneticPr fontId="2"/>
  </si>
  <si>
    <t>護衛</t>
    <rPh sb="0" eb="2">
      <t>ゴエイ</t>
    </rPh>
    <phoneticPr fontId="2"/>
  </si>
  <si>
    <t>259項</t>
    <rPh sb="3" eb="4">
      <t>コウ</t>
    </rPh>
    <phoneticPr fontId="2"/>
  </si>
  <si>
    <t>死角移動</t>
    <rPh sb="0" eb="2">
      <t>シカク</t>
    </rPh>
    <rPh sb="2" eb="4">
      <t>イドウ</t>
    </rPh>
    <phoneticPr fontId="2"/>
  </si>
  <si>
    <t>267項</t>
    <rPh sb="3" eb="4">
      <t>コウ</t>
    </rPh>
    <phoneticPr fontId="2"/>
  </si>
  <si>
    <t>刺突攻撃</t>
    <rPh sb="0" eb="2">
      <t>シトツ</t>
    </rPh>
    <rPh sb="2" eb="4">
      <t>コウゲキ</t>
    </rPh>
    <phoneticPr fontId="2"/>
  </si>
  <si>
    <t>狙撃</t>
    <rPh sb="0" eb="2">
      <t>ソゲキ</t>
    </rPh>
    <phoneticPr fontId="2"/>
  </si>
  <si>
    <t>268項</t>
    <rPh sb="3" eb="4">
      <t>コウ</t>
    </rPh>
    <phoneticPr fontId="2"/>
  </si>
  <si>
    <t>速射</t>
    <rPh sb="0" eb="2">
      <t>ソクシャ</t>
    </rPh>
    <phoneticPr fontId="2"/>
  </si>
  <si>
    <t>265項</t>
    <rPh sb="3" eb="4">
      <t>コウ</t>
    </rPh>
    <phoneticPr fontId="2"/>
  </si>
  <si>
    <t>鉄の拳</t>
    <rPh sb="0" eb="1">
      <t>テツ</t>
    </rPh>
    <rPh sb="2" eb="3">
      <t>コブシ</t>
    </rPh>
    <phoneticPr fontId="2"/>
  </si>
  <si>
    <t>269項</t>
    <rPh sb="3" eb="4">
      <t>コウ</t>
    </rPh>
    <phoneticPr fontId="2"/>
  </si>
  <si>
    <t>260項</t>
    <rPh sb="3" eb="4">
      <t>コウ</t>
    </rPh>
    <phoneticPr fontId="2"/>
  </si>
  <si>
    <t>薙ぎ払い</t>
    <rPh sb="0" eb="1">
      <t>ナ</t>
    </rPh>
    <rPh sb="2" eb="3">
      <t>ハラ</t>
    </rPh>
    <phoneticPr fontId="2"/>
  </si>
  <si>
    <t>272項</t>
    <rPh sb="3" eb="4">
      <t>コウ</t>
    </rPh>
    <phoneticPr fontId="2"/>
  </si>
  <si>
    <t>二刀流</t>
    <rPh sb="0" eb="3">
      <t>ニトウリュウ</t>
    </rPh>
    <phoneticPr fontId="2"/>
  </si>
  <si>
    <t>271項</t>
    <rPh sb="3" eb="4">
      <t>コウ</t>
    </rPh>
    <phoneticPr fontId="2"/>
  </si>
  <si>
    <t>発勁</t>
    <rPh sb="0" eb="1">
      <t>ハツ</t>
    </rPh>
    <rPh sb="1" eb="2">
      <t>ケイ</t>
    </rPh>
    <phoneticPr fontId="2"/>
  </si>
  <si>
    <t>270項</t>
    <rPh sb="3" eb="4">
      <t>コウ</t>
    </rPh>
    <phoneticPr fontId="2"/>
  </si>
  <si>
    <t>武器：片手剣</t>
    <rPh sb="0" eb="2">
      <t>ブキ</t>
    </rPh>
    <rPh sb="3" eb="6">
      <t>カタテケン</t>
    </rPh>
    <phoneticPr fontId="2"/>
  </si>
  <si>
    <t>257項</t>
    <rPh sb="3" eb="4">
      <t>コウ</t>
    </rPh>
    <phoneticPr fontId="2"/>
  </si>
  <si>
    <t>武器：両手剣</t>
    <rPh sb="0" eb="2">
      <t>ブキ</t>
    </rPh>
    <rPh sb="3" eb="5">
      <t>リョウテ</t>
    </rPh>
    <rPh sb="5" eb="6">
      <t>ケン</t>
    </rPh>
    <phoneticPr fontId="2"/>
  </si>
  <si>
    <t>武器：斧</t>
    <rPh sb="0" eb="2">
      <t>ブキ</t>
    </rPh>
    <rPh sb="3" eb="4">
      <t>オノ</t>
    </rPh>
    <phoneticPr fontId="2"/>
  </si>
  <si>
    <t>武器：槍</t>
    <rPh sb="0" eb="2">
      <t>ブキ</t>
    </rPh>
    <rPh sb="3" eb="4">
      <t>ヤリ</t>
    </rPh>
    <phoneticPr fontId="2"/>
  </si>
  <si>
    <t>武器：戦槌</t>
    <rPh sb="0" eb="2">
      <t>ブキ</t>
    </rPh>
    <rPh sb="3" eb="4">
      <t>セン</t>
    </rPh>
    <rPh sb="4" eb="5">
      <t>ツイ</t>
    </rPh>
    <phoneticPr fontId="2"/>
  </si>
  <si>
    <t>武器：棍杖</t>
    <rPh sb="0" eb="2">
      <t>ブキ</t>
    </rPh>
    <rPh sb="3" eb="4">
      <t>ツエ</t>
    </rPh>
    <rPh sb="4" eb="5">
      <t>ツエ</t>
    </rPh>
    <phoneticPr fontId="2"/>
  </si>
  <si>
    <t>武器：格闘武器</t>
    <rPh sb="0" eb="2">
      <t>ブキ</t>
    </rPh>
    <rPh sb="3" eb="5">
      <t>カクトウ</t>
    </rPh>
    <rPh sb="5" eb="7">
      <t>ブキ</t>
    </rPh>
    <phoneticPr fontId="2"/>
  </si>
  <si>
    <t>武器：格闘</t>
    <rPh sb="0" eb="2">
      <t>ブキ</t>
    </rPh>
    <rPh sb="3" eb="5">
      <t>カクトウ</t>
    </rPh>
    <phoneticPr fontId="2"/>
  </si>
  <si>
    <t>武器：投擲武器</t>
    <rPh sb="0" eb="2">
      <t>ブキ</t>
    </rPh>
    <rPh sb="3" eb="5">
      <t>トウテキ</t>
    </rPh>
    <rPh sb="5" eb="7">
      <t>ブキ</t>
    </rPh>
    <phoneticPr fontId="2"/>
  </si>
  <si>
    <t>武器：投擲</t>
    <rPh sb="0" eb="2">
      <t>ブキ</t>
    </rPh>
    <rPh sb="3" eb="5">
      <t>トウテキ</t>
    </rPh>
    <phoneticPr fontId="2"/>
  </si>
  <si>
    <t>武器：弩弓</t>
    <rPh sb="0" eb="2">
      <t>ブキ</t>
    </rPh>
    <rPh sb="3" eb="4">
      <t>ド</t>
    </rPh>
    <rPh sb="4" eb="5">
      <t>キュウ</t>
    </rPh>
    <phoneticPr fontId="2"/>
  </si>
  <si>
    <t>見切り</t>
    <rPh sb="0" eb="2">
      <t>ミキ</t>
    </rPh>
    <phoneticPr fontId="2"/>
  </si>
  <si>
    <t>鎧：衣鎧</t>
    <rPh sb="0" eb="1">
      <t>ヨロイ</t>
    </rPh>
    <rPh sb="2" eb="3">
      <t>コロモ</t>
    </rPh>
    <rPh sb="3" eb="4">
      <t>ヨロイ</t>
    </rPh>
    <phoneticPr fontId="2"/>
  </si>
  <si>
    <t>鎧：軽鎧</t>
    <rPh sb="0" eb="1">
      <t>ヨロイ</t>
    </rPh>
    <rPh sb="2" eb="3">
      <t>カル</t>
    </rPh>
    <rPh sb="3" eb="4">
      <t>ヨロイ</t>
    </rPh>
    <phoneticPr fontId="2"/>
  </si>
  <si>
    <t>鎧：重鎧</t>
    <rPh sb="0" eb="1">
      <t>ヨロイ</t>
    </rPh>
    <rPh sb="2" eb="3">
      <t>ジュウ</t>
    </rPh>
    <rPh sb="3" eb="4">
      <t>ヨロイ</t>
    </rPh>
    <phoneticPr fontId="2"/>
  </si>
  <si>
    <t>火の遣い手</t>
    <rPh sb="0" eb="1">
      <t>ヒ</t>
    </rPh>
    <rPh sb="2" eb="3">
      <t>ツカ</t>
    </rPh>
    <rPh sb="4" eb="5">
      <t>テ</t>
    </rPh>
    <phoneticPr fontId="2"/>
  </si>
  <si>
    <t>呪文遣い系職業向け</t>
    <rPh sb="0" eb="2">
      <t>ジュモン</t>
    </rPh>
    <rPh sb="2" eb="3">
      <t>ツカ</t>
    </rPh>
    <rPh sb="4" eb="5">
      <t>ケイ</t>
    </rPh>
    <rPh sb="5" eb="7">
      <t>ショクギョウ</t>
    </rPh>
    <rPh sb="7" eb="8">
      <t>ム</t>
    </rPh>
    <phoneticPr fontId="2"/>
  </si>
  <si>
    <t>273項</t>
    <rPh sb="3" eb="4">
      <t>コウ</t>
    </rPh>
    <phoneticPr fontId="2"/>
  </si>
  <si>
    <t>水の遣い手</t>
    <rPh sb="0" eb="1">
      <t>ミズ</t>
    </rPh>
    <rPh sb="2" eb="3">
      <t>ツカ</t>
    </rPh>
    <rPh sb="4" eb="5">
      <t>テ</t>
    </rPh>
    <phoneticPr fontId="2"/>
  </si>
  <si>
    <t>風の遣い手</t>
    <rPh sb="0" eb="1">
      <t>カゼ</t>
    </rPh>
    <rPh sb="2" eb="3">
      <t>ツカ</t>
    </rPh>
    <rPh sb="4" eb="5">
      <t>テ</t>
    </rPh>
    <phoneticPr fontId="2"/>
  </si>
  <si>
    <t>土の遣い手</t>
    <rPh sb="0" eb="1">
      <t>ツチ</t>
    </rPh>
    <rPh sb="2" eb="3">
      <t>ツカ</t>
    </rPh>
    <rPh sb="4" eb="5">
      <t>テ</t>
    </rPh>
    <phoneticPr fontId="2"/>
  </si>
  <si>
    <t>生命の遣い手</t>
    <rPh sb="0" eb="2">
      <t>セイメイ</t>
    </rPh>
    <rPh sb="3" eb="4">
      <t>ツカ</t>
    </rPh>
    <rPh sb="5" eb="6">
      <t>テ</t>
    </rPh>
    <phoneticPr fontId="2"/>
  </si>
  <si>
    <t>呪文熟達：攻撃呪文</t>
    <rPh sb="0" eb="2">
      <t>ジュモン</t>
    </rPh>
    <rPh sb="2" eb="4">
      <t>ジュクタツ</t>
    </rPh>
    <rPh sb="5" eb="7">
      <t>コウゲキ</t>
    </rPh>
    <rPh sb="7" eb="9">
      <t>ジュモン</t>
    </rPh>
    <phoneticPr fontId="2"/>
  </si>
  <si>
    <t>熟達：攻撃呪文</t>
    <rPh sb="0" eb="2">
      <t>ジュクタツ</t>
    </rPh>
    <rPh sb="3" eb="5">
      <t>コウゲキ</t>
    </rPh>
    <rPh sb="5" eb="7">
      <t>ジュモン</t>
    </rPh>
    <phoneticPr fontId="2"/>
  </si>
  <si>
    <t>呪文熟達：付与呪文</t>
    <rPh sb="0" eb="2">
      <t>ジュモン</t>
    </rPh>
    <rPh sb="2" eb="4">
      <t>ジュクタツ</t>
    </rPh>
    <rPh sb="5" eb="7">
      <t>フヨ</t>
    </rPh>
    <rPh sb="7" eb="9">
      <t>ジュモン</t>
    </rPh>
    <phoneticPr fontId="2"/>
  </si>
  <si>
    <t>熟達：付与呪文</t>
    <rPh sb="0" eb="2">
      <t>ジュクタツ</t>
    </rPh>
    <rPh sb="3" eb="5">
      <t>フヨ</t>
    </rPh>
    <rPh sb="5" eb="7">
      <t>ジュモン</t>
    </rPh>
    <phoneticPr fontId="2"/>
  </si>
  <si>
    <t>呪文熟達：創造呪文</t>
    <rPh sb="0" eb="2">
      <t>ジュモン</t>
    </rPh>
    <rPh sb="2" eb="4">
      <t>ジュクタツ</t>
    </rPh>
    <rPh sb="5" eb="7">
      <t>ソウゾウ</t>
    </rPh>
    <rPh sb="7" eb="9">
      <t>ジュモン</t>
    </rPh>
    <phoneticPr fontId="2"/>
  </si>
  <si>
    <t>熟達：創造呪文</t>
    <rPh sb="0" eb="2">
      <t>ジュクタツ</t>
    </rPh>
    <rPh sb="3" eb="5">
      <t>ソウゾウ</t>
    </rPh>
    <rPh sb="5" eb="7">
      <t>ジュモン</t>
    </rPh>
    <phoneticPr fontId="2"/>
  </si>
  <si>
    <t>呪文熟達：支配呪文</t>
    <rPh sb="0" eb="2">
      <t>ジュモン</t>
    </rPh>
    <rPh sb="2" eb="4">
      <t>ジュクタツ</t>
    </rPh>
    <rPh sb="5" eb="7">
      <t>シハイ</t>
    </rPh>
    <rPh sb="7" eb="9">
      <t>ジュモン</t>
    </rPh>
    <phoneticPr fontId="2"/>
  </si>
  <si>
    <t>熟達：支配呪文</t>
    <rPh sb="0" eb="2">
      <t>ジュクタツ</t>
    </rPh>
    <rPh sb="3" eb="5">
      <t>シハイ</t>
    </rPh>
    <rPh sb="5" eb="7">
      <t>ジュモン</t>
    </rPh>
    <phoneticPr fontId="2"/>
  </si>
  <si>
    <t>呪文熟達：治癒呪文</t>
    <rPh sb="0" eb="2">
      <t>ジュモン</t>
    </rPh>
    <rPh sb="2" eb="4">
      <t>ジュクタツ</t>
    </rPh>
    <rPh sb="5" eb="7">
      <t>チユ</t>
    </rPh>
    <rPh sb="7" eb="9">
      <t>ジュモン</t>
    </rPh>
    <phoneticPr fontId="2"/>
  </si>
  <si>
    <t>熟達：治癒呪文</t>
    <rPh sb="0" eb="2">
      <t>ジュクタツ</t>
    </rPh>
    <rPh sb="3" eb="5">
      <t>チユ</t>
    </rPh>
    <rPh sb="5" eb="7">
      <t>ジュモン</t>
    </rPh>
    <phoneticPr fontId="2"/>
  </si>
  <si>
    <t>呪文熟達：汎用呪文</t>
    <rPh sb="0" eb="2">
      <t>ジュモン</t>
    </rPh>
    <rPh sb="2" eb="4">
      <t>ジュクタツ</t>
    </rPh>
    <rPh sb="5" eb="7">
      <t>ハンヨウ</t>
    </rPh>
    <rPh sb="7" eb="9">
      <t>ジュモン</t>
    </rPh>
    <phoneticPr fontId="2"/>
  </si>
  <si>
    <t>熟達：汎用呪文</t>
    <rPh sb="0" eb="2">
      <t>ジュクタツ</t>
    </rPh>
    <rPh sb="3" eb="5">
      <t>ハンヨウ</t>
    </rPh>
    <rPh sb="5" eb="7">
      <t>ジュモン</t>
    </rPh>
    <phoneticPr fontId="2"/>
  </si>
  <si>
    <t>呪文増強：威力</t>
    <rPh sb="0" eb="2">
      <t>ジュモン</t>
    </rPh>
    <rPh sb="2" eb="4">
      <t>ゾウキョウ</t>
    </rPh>
    <rPh sb="5" eb="7">
      <t>イリョク</t>
    </rPh>
    <phoneticPr fontId="2"/>
  </si>
  <si>
    <t>274項</t>
    <rPh sb="3" eb="4">
      <t>コウ</t>
    </rPh>
    <phoneticPr fontId="2"/>
  </si>
  <si>
    <t>呪文追加：真言呪文</t>
    <rPh sb="0" eb="2">
      <t>ジュモン</t>
    </rPh>
    <rPh sb="2" eb="4">
      <t>ツイカ</t>
    </rPh>
    <rPh sb="5" eb="7">
      <t>シンゴン</t>
    </rPh>
    <rPh sb="7" eb="9">
      <t>ジュモン</t>
    </rPh>
    <phoneticPr fontId="2"/>
  </si>
  <si>
    <t>追加：真言呪文</t>
    <rPh sb="0" eb="2">
      <t>ツイカ</t>
    </rPh>
    <rPh sb="3" eb="5">
      <t>シンゴン</t>
    </rPh>
    <rPh sb="5" eb="7">
      <t>ジュモン</t>
    </rPh>
    <phoneticPr fontId="2"/>
  </si>
  <si>
    <t>275項</t>
    <rPh sb="3" eb="4">
      <t>コウ</t>
    </rPh>
    <phoneticPr fontId="2"/>
  </si>
  <si>
    <t>呪文追加：奇跡</t>
    <rPh sb="0" eb="2">
      <t>ジュモン</t>
    </rPh>
    <rPh sb="2" eb="4">
      <t>ツイカ</t>
    </rPh>
    <rPh sb="5" eb="7">
      <t>キセキ</t>
    </rPh>
    <phoneticPr fontId="2"/>
  </si>
  <si>
    <t>追加：奇跡</t>
    <rPh sb="0" eb="2">
      <t>ツイカ</t>
    </rPh>
    <rPh sb="3" eb="5">
      <t>キセキ</t>
    </rPh>
    <phoneticPr fontId="2"/>
  </si>
  <si>
    <t>呪文追加：祖竜術</t>
    <rPh sb="0" eb="2">
      <t>ジュモン</t>
    </rPh>
    <rPh sb="2" eb="4">
      <t>ツイカ</t>
    </rPh>
    <rPh sb="5" eb="6">
      <t>ソ</t>
    </rPh>
    <rPh sb="6" eb="7">
      <t>リュウ</t>
    </rPh>
    <rPh sb="7" eb="8">
      <t>ジュツ</t>
    </rPh>
    <phoneticPr fontId="2"/>
  </si>
  <si>
    <t>追加：祖竜術</t>
    <rPh sb="0" eb="2">
      <t>ツイカ</t>
    </rPh>
    <rPh sb="3" eb="4">
      <t>ソ</t>
    </rPh>
    <rPh sb="4" eb="5">
      <t>リュウ</t>
    </rPh>
    <rPh sb="5" eb="6">
      <t>ジュツ</t>
    </rPh>
    <phoneticPr fontId="2"/>
  </si>
  <si>
    <t>呪文追加：精霊術</t>
    <rPh sb="0" eb="2">
      <t>ジュモン</t>
    </rPh>
    <rPh sb="2" eb="4">
      <t>ツイカ</t>
    </rPh>
    <rPh sb="5" eb="7">
      <t>セイレイ</t>
    </rPh>
    <rPh sb="7" eb="8">
      <t>ジュツ</t>
    </rPh>
    <phoneticPr fontId="2"/>
  </si>
  <si>
    <t>追加：精霊術</t>
    <rPh sb="0" eb="2">
      <t>ツイカ</t>
    </rPh>
    <rPh sb="3" eb="5">
      <t>セイレイ</t>
    </rPh>
    <rPh sb="5" eb="6">
      <t>ジュツ</t>
    </rPh>
    <phoneticPr fontId="2"/>
  </si>
  <si>
    <t>魔法の才</t>
    <rPh sb="0" eb="2">
      <t>マホウ</t>
    </rPh>
    <rPh sb="3" eb="4">
      <t>サイ</t>
    </rPh>
    <phoneticPr fontId="2"/>
  </si>
  <si>
    <t>一般技能</t>
    <rPh sb="0" eb="2">
      <t>イッパン</t>
    </rPh>
    <rPh sb="2" eb="4">
      <t>ギノウ</t>
    </rPh>
    <phoneticPr fontId="2"/>
  </si>
  <si>
    <t>暗視</t>
    <rPh sb="0" eb="2">
      <t>アンシ</t>
    </rPh>
    <phoneticPr fontId="2"/>
  </si>
  <si>
    <t>292項</t>
    <rPh sb="3" eb="4">
      <t>コウ</t>
    </rPh>
    <phoneticPr fontId="2"/>
  </si>
  <si>
    <t>鑑定</t>
    <rPh sb="0" eb="2">
      <t>カンテイ</t>
    </rPh>
    <phoneticPr fontId="2"/>
  </si>
  <si>
    <t>278項</t>
    <rPh sb="3" eb="4">
      <t>コウ</t>
    </rPh>
    <phoneticPr fontId="2"/>
  </si>
  <si>
    <t>騎乗</t>
    <rPh sb="0" eb="2">
      <t>キジョウ</t>
    </rPh>
    <phoneticPr fontId="2"/>
  </si>
  <si>
    <t>289項</t>
    <rPh sb="3" eb="4">
      <t>コウ</t>
    </rPh>
    <phoneticPr fontId="2"/>
  </si>
  <si>
    <t>祈祷</t>
    <rPh sb="0" eb="2">
      <t>キトウ</t>
    </rPh>
    <phoneticPr fontId="2"/>
  </si>
  <si>
    <t>277項</t>
    <rPh sb="3" eb="4">
      <t>コウ</t>
    </rPh>
    <phoneticPr fontId="2"/>
  </si>
  <si>
    <t>芸能：歌唱</t>
    <rPh sb="0" eb="2">
      <t>ゲイノウ</t>
    </rPh>
    <rPh sb="3" eb="5">
      <t>カショウ</t>
    </rPh>
    <phoneticPr fontId="2"/>
  </si>
  <si>
    <t>286項</t>
    <rPh sb="3" eb="4">
      <t>コウ</t>
    </rPh>
    <phoneticPr fontId="2"/>
  </si>
  <si>
    <t>芸能：演奏</t>
    <rPh sb="0" eb="2">
      <t>ゲイノウ</t>
    </rPh>
    <rPh sb="3" eb="5">
      <t>エンソウ</t>
    </rPh>
    <phoneticPr fontId="2"/>
  </si>
  <si>
    <t>芸能：舞踊</t>
    <rPh sb="0" eb="2">
      <t>ゲイノウ</t>
    </rPh>
    <rPh sb="3" eb="5">
      <t>ブヨウ</t>
    </rPh>
    <phoneticPr fontId="2"/>
  </si>
  <si>
    <t>芸能：大道芸</t>
    <rPh sb="0" eb="2">
      <t>ゲイノウ</t>
    </rPh>
    <rPh sb="3" eb="6">
      <t>ダイドウゲイ</t>
    </rPh>
    <phoneticPr fontId="2"/>
  </si>
  <si>
    <t>芸能：演劇</t>
    <rPh sb="0" eb="2">
      <t>ゲイノウ</t>
    </rPh>
    <rPh sb="3" eb="5">
      <t>エンゲキ</t>
    </rPh>
    <phoneticPr fontId="2"/>
  </si>
  <si>
    <t>工作</t>
    <rPh sb="0" eb="2">
      <t>コウサク</t>
    </rPh>
    <phoneticPr fontId="2"/>
  </si>
  <si>
    <t>288項</t>
    <rPh sb="3" eb="4">
      <t>コウ</t>
    </rPh>
    <phoneticPr fontId="2"/>
  </si>
  <si>
    <t>職人：鍛冶</t>
    <rPh sb="0" eb="2">
      <t>ショクニン</t>
    </rPh>
    <phoneticPr fontId="2"/>
  </si>
  <si>
    <t>285項</t>
    <rPh sb="3" eb="4">
      <t>コウ</t>
    </rPh>
    <phoneticPr fontId="2"/>
  </si>
  <si>
    <t>職人：裁縫</t>
    <rPh sb="0" eb="2">
      <t>ショクニン</t>
    </rPh>
    <rPh sb="3" eb="5">
      <t>サイホウ</t>
    </rPh>
    <phoneticPr fontId="2"/>
  </si>
  <si>
    <t>職人：木工</t>
    <rPh sb="0" eb="2">
      <t>ショクニン</t>
    </rPh>
    <rPh sb="3" eb="5">
      <t>モッコウ</t>
    </rPh>
    <phoneticPr fontId="2"/>
  </si>
  <si>
    <t>職人：革細工</t>
    <rPh sb="0" eb="2">
      <t>ショクニン</t>
    </rPh>
    <rPh sb="3" eb="4">
      <t>カワ</t>
    </rPh>
    <rPh sb="4" eb="6">
      <t>ザイク</t>
    </rPh>
    <phoneticPr fontId="2"/>
  </si>
  <si>
    <t>職人：彫金</t>
    <rPh sb="0" eb="2">
      <t>ショクニン</t>
    </rPh>
    <rPh sb="3" eb="4">
      <t>ホリ</t>
    </rPh>
    <rPh sb="4" eb="5">
      <t>キン</t>
    </rPh>
    <phoneticPr fontId="2"/>
  </si>
  <si>
    <t>神学</t>
    <rPh sb="0" eb="2">
      <t>シンガク</t>
    </rPh>
    <phoneticPr fontId="2"/>
  </si>
  <si>
    <t>280項</t>
    <rPh sb="3" eb="4">
      <t>コウ</t>
    </rPh>
    <phoneticPr fontId="2"/>
  </si>
  <si>
    <t>信仰心：至高神</t>
    <rPh sb="0" eb="3">
      <t>シンコウシン</t>
    </rPh>
    <rPh sb="4" eb="6">
      <t>シコウ</t>
    </rPh>
    <rPh sb="6" eb="7">
      <t>シン</t>
    </rPh>
    <phoneticPr fontId="2"/>
  </si>
  <si>
    <t>290項</t>
    <rPh sb="3" eb="4">
      <t>コウ</t>
    </rPh>
    <phoneticPr fontId="2"/>
  </si>
  <si>
    <t>信仰心：地母神</t>
    <rPh sb="0" eb="3">
      <t>シンコウシン</t>
    </rPh>
    <rPh sb="4" eb="7">
      <t>チボシン</t>
    </rPh>
    <phoneticPr fontId="2"/>
  </si>
  <si>
    <t>信仰心：交易神</t>
    <rPh sb="0" eb="3">
      <t>シンコウシン</t>
    </rPh>
    <rPh sb="4" eb="6">
      <t>コウエキ</t>
    </rPh>
    <rPh sb="6" eb="7">
      <t>シン</t>
    </rPh>
    <phoneticPr fontId="2"/>
  </si>
  <si>
    <t>信仰心：知識神</t>
    <rPh sb="0" eb="3">
      <t>シンコウシン</t>
    </rPh>
    <rPh sb="4" eb="6">
      <t>チシキ</t>
    </rPh>
    <rPh sb="6" eb="7">
      <t>シン</t>
    </rPh>
    <phoneticPr fontId="2"/>
  </si>
  <si>
    <t>信仰心：戦女神</t>
    <rPh sb="0" eb="3">
      <t>シンコウシン</t>
    </rPh>
    <rPh sb="4" eb="5">
      <t>イクサ</t>
    </rPh>
    <rPh sb="5" eb="7">
      <t>メガミ</t>
    </rPh>
    <phoneticPr fontId="2"/>
  </si>
  <si>
    <t>信仰心：祖竜</t>
    <rPh sb="0" eb="3">
      <t>シンコウシン</t>
    </rPh>
    <rPh sb="4" eb="5">
      <t>ソ</t>
    </rPh>
    <rPh sb="5" eb="6">
      <t>リュウ</t>
    </rPh>
    <phoneticPr fontId="2"/>
  </si>
  <si>
    <t>生産業：農業</t>
    <rPh sb="0" eb="3">
      <t>セイサンギョウ</t>
    </rPh>
    <rPh sb="4" eb="6">
      <t>ノウギョウ</t>
    </rPh>
    <phoneticPr fontId="2"/>
  </si>
  <si>
    <t>生産業：漁業</t>
    <rPh sb="4" eb="6">
      <t>ギョギョウ</t>
    </rPh>
    <phoneticPr fontId="2"/>
  </si>
  <si>
    <t>生産業：林業</t>
    <rPh sb="4" eb="6">
      <t>リンギョウ</t>
    </rPh>
    <phoneticPr fontId="2"/>
  </si>
  <si>
    <t>生産業：採掘</t>
    <rPh sb="4" eb="6">
      <t>サイクツ</t>
    </rPh>
    <phoneticPr fontId="2"/>
  </si>
  <si>
    <t>精霊の愛し子</t>
    <rPh sb="0" eb="2">
      <t>セイレイ</t>
    </rPh>
    <rPh sb="3" eb="4">
      <t>イト</t>
    </rPh>
    <rPh sb="5" eb="6">
      <t>コ</t>
    </rPh>
    <phoneticPr fontId="2"/>
  </si>
  <si>
    <t>291項</t>
    <rPh sb="3" eb="4">
      <t>コウ</t>
    </rPh>
    <phoneticPr fontId="2"/>
  </si>
  <si>
    <t>先入観なし</t>
    <rPh sb="0" eb="3">
      <t>センニュウカン</t>
    </rPh>
    <phoneticPr fontId="2"/>
  </si>
  <si>
    <t>281項</t>
    <rPh sb="3" eb="4">
      <t>コウ</t>
    </rPh>
    <phoneticPr fontId="2"/>
  </si>
  <si>
    <t>調理</t>
    <rPh sb="0" eb="2">
      <t>チョウリ</t>
    </rPh>
    <phoneticPr fontId="2"/>
  </si>
  <si>
    <t>282項</t>
    <rPh sb="3" eb="4">
      <t>コウ</t>
    </rPh>
    <phoneticPr fontId="2"/>
  </si>
  <si>
    <t>統率</t>
    <rPh sb="0" eb="2">
      <t>トウソツ</t>
    </rPh>
    <phoneticPr fontId="2"/>
  </si>
  <si>
    <t>276項</t>
    <rPh sb="3" eb="4">
      <t>コウ</t>
    </rPh>
    <phoneticPr fontId="2"/>
  </si>
  <si>
    <t>犯罪知識</t>
    <rPh sb="0" eb="2">
      <t>ハンザイ</t>
    </rPh>
    <rPh sb="2" eb="4">
      <t>チシキ</t>
    </rPh>
    <phoneticPr fontId="2"/>
  </si>
  <si>
    <t>283項</t>
    <rPh sb="3" eb="4">
      <t>コウ</t>
    </rPh>
    <phoneticPr fontId="2"/>
  </si>
  <si>
    <t>瞑想</t>
    <rPh sb="0" eb="2">
      <t>メイソウ</t>
    </rPh>
    <phoneticPr fontId="2"/>
  </si>
  <si>
    <t>竜の末裔</t>
    <rPh sb="0" eb="1">
      <t>リュウ</t>
    </rPh>
    <rPh sb="2" eb="4">
      <t>マツエイ</t>
    </rPh>
    <phoneticPr fontId="2"/>
  </si>
  <si>
    <t>礼儀作法</t>
    <rPh sb="0" eb="2">
      <t>レイギ</t>
    </rPh>
    <rPh sb="2" eb="4">
      <t>サホウ</t>
    </rPh>
    <phoneticPr fontId="2"/>
  </si>
  <si>
    <t>284項</t>
    <rPh sb="3" eb="4">
      <t>コウ</t>
    </rPh>
    <phoneticPr fontId="2"/>
  </si>
  <si>
    <t>労働</t>
    <rPh sb="0" eb="2">
      <t>ロウドウ</t>
    </rPh>
    <phoneticPr fontId="2"/>
  </si>
  <si>
    <t>生得技能(1)</t>
    <rPh sb="0" eb="2">
      <t>セイトク</t>
    </rPh>
    <rPh sb="2" eb="4">
      <t>ギノウ</t>
    </rPh>
    <phoneticPr fontId="2"/>
  </si>
  <si>
    <t>生得技能(2)</t>
    <rPh sb="0" eb="2">
      <t>セイトク</t>
    </rPh>
    <rPh sb="2" eb="4">
      <t>ギノウ</t>
    </rPh>
    <phoneticPr fontId="2"/>
  </si>
  <si>
    <t>生得技能(3)</t>
    <rPh sb="0" eb="2">
      <t>セイトク</t>
    </rPh>
    <rPh sb="2" eb="4">
      <t>ギノウ</t>
    </rPh>
    <phoneticPr fontId="2"/>
  </si>
  <si>
    <t>基準値</t>
    <rPh sb="0" eb="3">
      <t>キジュンチ</t>
    </rPh>
    <phoneticPr fontId="2"/>
  </si>
  <si>
    <t>真言呪文が少なすぎます</t>
    <rPh sb="0" eb="2">
      <t>シンゴン</t>
    </rPh>
    <rPh sb="2" eb="4">
      <t>ジュモン</t>
    </rPh>
    <rPh sb="5" eb="6">
      <t>スク</t>
    </rPh>
    <phoneticPr fontId="2"/>
  </si>
  <si>
    <t>真言呪文が多すぎます</t>
    <rPh sb="0" eb="2">
      <t>シンゴン</t>
    </rPh>
    <rPh sb="2" eb="4">
      <t>ジュモン</t>
    </rPh>
    <rPh sb="5" eb="6">
      <t>オオ</t>
    </rPh>
    <phoneticPr fontId="2"/>
  </si>
  <si>
    <t>奇跡が少なすぎます</t>
    <rPh sb="0" eb="2">
      <t>キセキ</t>
    </rPh>
    <rPh sb="3" eb="4">
      <t>スク</t>
    </rPh>
    <phoneticPr fontId="2"/>
  </si>
  <si>
    <t>奇跡が多すぎます</t>
    <rPh sb="0" eb="2">
      <t>キセキ</t>
    </rPh>
    <rPh sb="3" eb="4">
      <t>オオ</t>
    </rPh>
    <phoneticPr fontId="2"/>
  </si>
  <si>
    <t>祖竜術が少なすぎます</t>
    <rPh sb="0" eb="1">
      <t>ソ</t>
    </rPh>
    <rPh sb="1" eb="2">
      <t>リュウ</t>
    </rPh>
    <rPh sb="2" eb="3">
      <t>ジュツ</t>
    </rPh>
    <rPh sb="4" eb="5">
      <t>スク</t>
    </rPh>
    <phoneticPr fontId="2"/>
  </si>
  <si>
    <t>祖竜術が多すぎます</t>
    <rPh sb="0" eb="1">
      <t>ソ</t>
    </rPh>
    <rPh sb="1" eb="2">
      <t>リュウ</t>
    </rPh>
    <rPh sb="2" eb="3">
      <t>ジュツ</t>
    </rPh>
    <rPh sb="4" eb="5">
      <t>オオ</t>
    </rPh>
    <phoneticPr fontId="2"/>
  </si>
  <si>
    <t>精霊術が少なすぎます</t>
    <rPh sb="0" eb="2">
      <t>セイレイ</t>
    </rPh>
    <rPh sb="2" eb="3">
      <t>ジュツ</t>
    </rPh>
    <rPh sb="4" eb="5">
      <t>スク</t>
    </rPh>
    <phoneticPr fontId="2"/>
  </si>
  <si>
    <t>精霊術が多すぎます</t>
    <rPh sb="0" eb="2">
      <t>セイレイ</t>
    </rPh>
    <rPh sb="2" eb="3">
      <t>ジュツ</t>
    </rPh>
    <rPh sb="4" eb="5">
      <t>オオ</t>
    </rPh>
    <phoneticPr fontId="2"/>
  </si>
  <si>
    <t>が出自・来歴ボーナスがあるのに、現在値に反映されていません</t>
    <rPh sb="16" eb="18">
      <t>ゲンザイ</t>
    </rPh>
    <rPh sb="18" eb="19">
      <t>アタイ</t>
    </rPh>
    <rPh sb="20" eb="22">
      <t>ハンエイ</t>
    </rPh>
    <phoneticPr fontId="2"/>
  </si>
  <si>
    <t>のレベル</t>
    <phoneticPr fontId="2"/>
  </si>
  <si>
    <t>能力値ボーナスが設定されていません</t>
    <rPh sb="0" eb="3">
      <t>ノウリョクチ</t>
    </rPh>
    <rPh sb="8" eb="10">
      <t>セッテイ</t>
    </rPh>
    <phoneticPr fontId="2"/>
  </si>
  <si>
    <t>の習熟段階</t>
    <rPh sb="1" eb="3">
      <t>シュウジュク</t>
    </rPh>
    <rPh sb="3" eb="5">
      <t>ダンカイ</t>
    </rPh>
    <phoneticPr fontId="2"/>
  </si>
  <si>
    <t>職人：火事</t>
    <rPh sb="0" eb="2">
      <t>ショクニン</t>
    </rPh>
    <rPh sb="3" eb="5">
      <t>カジ</t>
    </rPh>
    <phoneticPr fontId="2"/>
  </si>
  <si>
    <t>冷静沈着</t>
    <rPh sb="0" eb="2">
      <t>レイセイ</t>
    </rPh>
    <rPh sb="2" eb="4">
      <t>チンチャク</t>
    </rPh>
    <phoneticPr fontId="2"/>
  </si>
  <si>
    <t>習得可能最大習熟段階を超過しています</t>
    <rPh sb="0" eb="2">
      <t>シュウトク</t>
    </rPh>
    <rPh sb="2" eb="4">
      <t>カノウ</t>
    </rPh>
    <rPh sb="4" eb="6">
      <t>サイダイ</t>
    </rPh>
    <rPh sb="6" eb="8">
      <t>シュウジュク</t>
    </rPh>
    <rPh sb="8" eb="10">
      <t>ダンカイ</t>
    </rPh>
    <rPh sb="11" eb="13">
      <t>チョウカ</t>
    </rPh>
    <phoneticPr fontId="2"/>
  </si>
  <si>
    <t>冒険者等級の条件を満たしていません</t>
    <rPh sb="0" eb="3">
      <t>ボウケンシャ</t>
    </rPh>
    <rPh sb="3" eb="5">
      <t>トウキュウ</t>
    </rPh>
    <rPh sb="6" eb="8">
      <t>ジョウケン</t>
    </rPh>
    <rPh sb="9" eb="10">
      <t>ミ</t>
    </rPh>
    <phoneticPr fontId="2"/>
  </si>
  <si>
    <t>成長点が足りません</t>
    <rPh sb="0" eb="2">
      <t>セイチョウ</t>
    </rPh>
    <rPh sb="2" eb="3">
      <t>テン</t>
    </rPh>
    <rPh sb="4" eb="5">
      <t>タ</t>
    </rPh>
    <phoneticPr fontId="2"/>
  </si>
  <si>
    <t>経験値が足りません</t>
    <rPh sb="0" eb="3">
      <t>ケイケンチ</t>
    </rPh>
    <rPh sb="4" eb="5">
      <t>タ</t>
    </rPh>
    <phoneticPr fontId="2"/>
  </si>
  <si>
    <t>冒険者等級</t>
    <rPh sb="0" eb="3">
      <t>ボウケンシャ</t>
    </rPh>
    <rPh sb="3" eb="5">
      <t>トウキュウ</t>
    </rPh>
    <phoneticPr fontId="2"/>
  </si>
  <si>
    <t>状態タイプ選択</t>
    <rPh sb="5" eb="7">
      <t>センタク</t>
    </rPh>
    <phoneticPr fontId="2"/>
  </si>
  <si>
    <t>初期習熟段階</t>
    <rPh sb="0" eb="2">
      <t>ショキ</t>
    </rPh>
    <rPh sb="2" eb="4">
      <t>シュウジュク</t>
    </rPh>
    <rPh sb="4" eb="6">
      <t>ダンカイ</t>
    </rPh>
    <phoneticPr fontId="2"/>
  </si>
  <si>
    <t>冒険者技能習熟段階</t>
    <rPh sb="0" eb="3">
      <t>ボウケンシャ</t>
    </rPh>
    <rPh sb="3" eb="5">
      <t>ギノウ</t>
    </rPh>
    <rPh sb="5" eb="7">
      <t>シュウジュク</t>
    </rPh>
    <rPh sb="7" eb="9">
      <t>ダンカイ</t>
    </rPh>
    <phoneticPr fontId="2"/>
  </si>
  <si>
    <t>一般技能習熟段階</t>
    <rPh sb="0" eb="2">
      <t>イッパン</t>
    </rPh>
    <rPh sb="2" eb="4">
      <t>ギノウ</t>
    </rPh>
    <rPh sb="4" eb="6">
      <t>シュウジュク</t>
    </rPh>
    <rPh sb="6" eb="8">
      <t>ダンカイ</t>
    </rPh>
    <phoneticPr fontId="2"/>
  </si>
  <si>
    <t>冒険者職業レベル</t>
    <rPh sb="0" eb="3">
      <t>ボウケンシャ</t>
    </rPh>
    <rPh sb="2" eb="3">
      <t>シャ</t>
    </rPh>
    <rPh sb="3" eb="5">
      <t>ショクギョウ</t>
    </rPh>
    <phoneticPr fontId="2"/>
  </si>
  <si>
    <t>真言呪文</t>
    <rPh sb="0" eb="2">
      <t>シンゴン</t>
    </rPh>
    <rPh sb="2" eb="4">
      <t>ジュモン</t>
    </rPh>
    <phoneticPr fontId="2"/>
  </si>
  <si>
    <t>奇跡</t>
    <rPh sb="0" eb="2">
      <t>キセキ</t>
    </rPh>
    <phoneticPr fontId="2"/>
  </si>
  <si>
    <t>祖竜術</t>
    <rPh sb="0" eb="1">
      <t>ソ</t>
    </rPh>
    <rPh sb="1" eb="2">
      <t>リュウ</t>
    </rPh>
    <rPh sb="2" eb="3">
      <t>ジュツ</t>
    </rPh>
    <phoneticPr fontId="2"/>
  </si>
  <si>
    <t>精霊術</t>
    <rPh sb="0" eb="2">
      <t>セイレイ</t>
    </rPh>
    <rPh sb="2" eb="3">
      <t>ジュツ</t>
    </rPh>
    <phoneticPr fontId="2"/>
  </si>
  <si>
    <t>冒険アイテム</t>
    <rPh sb="0" eb="2">
      <t>ボウケン</t>
    </rPh>
    <phoneticPr fontId="2"/>
  </si>
  <si>
    <t>数値</t>
    <rPh sb="0" eb="2">
      <t>スウチ</t>
    </rPh>
    <phoneticPr fontId="2"/>
  </si>
  <si>
    <t>近接職</t>
    <rPh sb="0" eb="2">
      <t>キンセツ</t>
    </rPh>
    <rPh sb="2" eb="3">
      <t>ショク</t>
    </rPh>
    <phoneticPr fontId="2"/>
  </si>
  <si>
    <t>盾受け職</t>
    <rPh sb="0" eb="1">
      <t>タテ</t>
    </rPh>
    <rPh sb="1" eb="2">
      <t>ウ</t>
    </rPh>
    <rPh sb="3" eb="4">
      <t>ショク</t>
    </rPh>
    <phoneticPr fontId="2"/>
  </si>
  <si>
    <t>回避職</t>
    <rPh sb="0" eb="2">
      <t>カイヒ</t>
    </rPh>
    <rPh sb="2" eb="3">
      <t>ショク</t>
    </rPh>
    <phoneticPr fontId="2"/>
  </si>
  <si>
    <t>技能一覧</t>
    <rPh sb="0" eb="2">
      <t>ギノウ</t>
    </rPh>
    <rPh sb="2" eb="4">
      <t>イチラン</t>
    </rPh>
    <phoneticPr fontId="2"/>
  </si>
  <si>
    <t>技能一覧：初歩</t>
    <rPh sb="0" eb="2">
      <t>ギノウ</t>
    </rPh>
    <rPh sb="2" eb="4">
      <t>イチラン</t>
    </rPh>
    <rPh sb="5" eb="7">
      <t>ショホ</t>
    </rPh>
    <phoneticPr fontId="2"/>
  </si>
  <si>
    <t>消耗品一覧</t>
    <rPh sb="0" eb="2">
      <t>ショウモウ</t>
    </rPh>
    <rPh sb="2" eb="3">
      <t>ヒン</t>
    </rPh>
    <rPh sb="3" eb="5">
      <t>イチラン</t>
    </rPh>
    <phoneticPr fontId="2"/>
  </si>
  <si>
    <t>呪文種別</t>
    <rPh sb="0" eb="2">
      <t>ジュモン</t>
    </rPh>
    <rPh sb="2" eb="4">
      <t>シュベツ</t>
    </rPh>
    <phoneticPr fontId="2"/>
  </si>
  <si>
    <t>技能絞り込み</t>
    <rPh sb="0" eb="2">
      <t>ギノウ</t>
    </rPh>
    <rPh sb="2" eb="3">
      <t>シボ</t>
    </rPh>
    <rPh sb="4" eb="5">
      <t>コ</t>
    </rPh>
    <phoneticPr fontId="2"/>
  </si>
  <si>
    <t>冒険者技能：職業共通</t>
    <rPh sb="0" eb="3">
      <t>ボウケンシャ</t>
    </rPh>
    <rPh sb="3" eb="5">
      <t>ギノウ</t>
    </rPh>
    <rPh sb="6" eb="8">
      <t>ショクギョウ</t>
    </rPh>
    <rPh sb="8" eb="10">
      <t>キョウツウ</t>
    </rPh>
    <phoneticPr fontId="2"/>
  </si>
  <si>
    <t>冒険者技能：戦士系職業向け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phoneticPr fontId="2"/>
  </si>
  <si>
    <t>冒険者技能：戦士系職業向け：攻撃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rPh sb="14" eb="16">
      <t>コウゲキ</t>
    </rPh>
    <phoneticPr fontId="2"/>
  </si>
  <si>
    <t>冒険者技能：戦士系職業向け：武器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rPh sb="14" eb="16">
      <t>ブキ</t>
    </rPh>
    <phoneticPr fontId="2"/>
  </si>
  <si>
    <t>冒険者技能：戦士系職業向け：鎧</t>
    <rPh sb="0" eb="3">
      <t>ボウケンシャ</t>
    </rPh>
    <rPh sb="3" eb="5">
      <t>ギノウ</t>
    </rPh>
    <rPh sb="6" eb="8">
      <t>センシ</t>
    </rPh>
    <rPh sb="8" eb="9">
      <t>ケイ</t>
    </rPh>
    <rPh sb="9" eb="11">
      <t>ショクギョウ</t>
    </rPh>
    <rPh sb="11" eb="12">
      <t>ム</t>
    </rPh>
    <rPh sb="14" eb="15">
      <t>ヨロイ</t>
    </rPh>
    <phoneticPr fontId="2"/>
  </si>
  <si>
    <t>冒険者技能：呪文遣い職業向け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phoneticPr fontId="2"/>
  </si>
  <si>
    <t>冒険者技能：呪文遣い職業向け：遣い手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6">
      <t>ツカ</t>
    </rPh>
    <rPh sb="17" eb="18">
      <t>テ</t>
    </rPh>
    <phoneticPr fontId="2"/>
  </si>
  <si>
    <t>冒険者技能：呪文遣い職業向け：呪文熟達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7">
      <t>ジュモン</t>
    </rPh>
    <rPh sb="17" eb="19">
      <t>ジュクタツ</t>
    </rPh>
    <phoneticPr fontId="2"/>
  </si>
  <si>
    <t>冒険者技能：呪文遣い職業向け：呪文増強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7">
      <t>ジュモン</t>
    </rPh>
    <rPh sb="17" eb="19">
      <t>ゾウキョウ</t>
    </rPh>
    <phoneticPr fontId="2"/>
  </si>
  <si>
    <t>冒険者技能：呪文遣い職業向け：呪文追加</t>
    <rPh sb="0" eb="3">
      <t>ボウケンシャ</t>
    </rPh>
    <rPh sb="3" eb="5">
      <t>ギノウ</t>
    </rPh>
    <rPh sb="6" eb="8">
      <t>ジュモン</t>
    </rPh>
    <rPh sb="8" eb="9">
      <t>ツカ</t>
    </rPh>
    <rPh sb="10" eb="12">
      <t>ショクギョウ</t>
    </rPh>
    <rPh sb="12" eb="13">
      <t>ム</t>
    </rPh>
    <rPh sb="15" eb="17">
      <t>ジュモン</t>
    </rPh>
    <rPh sb="17" eb="19">
      <t>ツイカ</t>
    </rPh>
    <phoneticPr fontId="2"/>
  </si>
  <si>
    <t>一般技能：芸能</t>
    <rPh sb="0" eb="2">
      <t>イッパン</t>
    </rPh>
    <rPh sb="2" eb="4">
      <t>ギノウ</t>
    </rPh>
    <rPh sb="5" eb="7">
      <t>ゲイノウ</t>
    </rPh>
    <phoneticPr fontId="2"/>
  </si>
  <si>
    <t>一般技能：交渉</t>
    <rPh sb="0" eb="2">
      <t>イッパン</t>
    </rPh>
    <rPh sb="2" eb="4">
      <t>ギノウ</t>
    </rPh>
    <rPh sb="5" eb="7">
      <t>コウショウ</t>
    </rPh>
    <phoneticPr fontId="2"/>
  </si>
  <si>
    <t>一般技能：職人</t>
    <rPh sb="0" eb="2">
      <t>イッパン</t>
    </rPh>
    <rPh sb="2" eb="4">
      <t>ギノウ</t>
    </rPh>
    <rPh sb="5" eb="7">
      <t>ショクニン</t>
    </rPh>
    <phoneticPr fontId="2"/>
  </si>
  <si>
    <t>一般技能：信仰心</t>
    <rPh sb="0" eb="2">
      <t>イッパン</t>
    </rPh>
    <rPh sb="2" eb="4">
      <t>ギノウ</t>
    </rPh>
    <rPh sb="5" eb="8">
      <t>シンコウシン</t>
    </rPh>
    <phoneticPr fontId="2"/>
  </si>
  <si>
    <t>一般技能：生産業</t>
    <rPh sb="0" eb="2">
      <t>イッパン</t>
    </rPh>
    <rPh sb="2" eb="4">
      <t>ギノウ</t>
    </rPh>
    <rPh sb="5" eb="8">
      <t>セイサンギョウ</t>
    </rPh>
    <phoneticPr fontId="2"/>
  </si>
  <si>
    <t>武器種別</t>
    <rPh sb="0" eb="2">
      <t>ブキ</t>
    </rPh>
    <rPh sb="2" eb="4">
      <t>シュベツ</t>
    </rPh>
    <phoneticPr fontId="2"/>
  </si>
  <si>
    <t>武器_片手剣</t>
  </si>
  <si>
    <t>武器_両手剣</t>
  </si>
  <si>
    <t>武器_戦槌</t>
  </si>
  <si>
    <t>武器_弩弓</t>
  </si>
  <si>
    <t>武器_投擲武器</t>
  </si>
  <si>
    <t>武器_斧</t>
  </si>
  <si>
    <t>武器_槍</t>
  </si>
  <si>
    <t>武器_棍杖</t>
  </si>
  <si>
    <t>武器_格闘武器</t>
  </si>
  <si>
    <t>鎧種別</t>
    <rPh sb="0" eb="1">
      <t>ヨロイ</t>
    </rPh>
    <rPh sb="1" eb="3">
      <t>シュベツ</t>
    </rPh>
    <phoneticPr fontId="2"/>
  </si>
  <si>
    <t>鎧_衣鎧</t>
  </si>
  <si>
    <t>鎧_軽鎧</t>
  </si>
  <si>
    <t>鎧_重鎧</t>
  </si>
  <si>
    <t>盾種別</t>
    <rPh sb="0" eb="1">
      <t>タテ</t>
    </rPh>
    <rPh sb="1" eb="3">
      <t>シュベツ</t>
    </rPh>
    <phoneticPr fontId="2"/>
  </si>
  <si>
    <t>小型盾</t>
    <rPh sb="0" eb="2">
      <t>コガタ</t>
    </rPh>
    <rPh sb="2" eb="3">
      <t>タテ</t>
    </rPh>
    <phoneticPr fontId="2"/>
  </si>
  <si>
    <t>大型盾</t>
    <rPh sb="0" eb="2">
      <t>オオガタ</t>
    </rPh>
    <rPh sb="2" eb="3">
      <t>タテ</t>
    </rPh>
    <phoneticPr fontId="2"/>
  </si>
  <si>
    <t>白磁等級</t>
    <rPh sb="0" eb="2">
      <t>ハクジ</t>
    </rPh>
    <rPh sb="2" eb="4">
      <t>トウキュウ</t>
    </rPh>
    <phoneticPr fontId="2"/>
  </si>
  <si>
    <t>－－－</t>
    <phoneticPr fontId="2"/>
  </si>
  <si>
    <t>なし</t>
    <phoneticPr fontId="2"/>
  </si>
  <si>
    <t>不明</t>
    <rPh sb="0" eb="2">
      <t>フメイ</t>
    </rPh>
    <phoneticPr fontId="2"/>
  </si>
  <si>
    <t>1,2</t>
    <phoneticPr fontId="2"/>
  </si>
  <si>
    <t>鉱人</t>
    <rPh sb="0" eb="1">
      <t>コウ</t>
    </rPh>
    <rPh sb="1" eb="2">
      <t>ヒト</t>
    </rPh>
    <phoneticPr fontId="2"/>
  </si>
  <si>
    <t>初歩</t>
    <rPh sb="0" eb="2">
      <t>ショホ</t>
    </rPh>
    <phoneticPr fontId="2"/>
  </si>
  <si>
    <t>分身</t>
    <rPh sb="0" eb="2">
      <t>ブンシン</t>
    </rPh>
    <phoneticPr fontId="2"/>
  </si>
  <si>
    <t>解毒</t>
    <rPh sb="0" eb="2">
      <t>ゲドク</t>
    </rPh>
    <phoneticPr fontId="2"/>
  </si>
  <si>
    <t>擬態</t>
    <rPh sb="0" eb="2">
      <t>ギタイ</t>
    </rPh>
    <phoneticPr fontId="2"/>
  </si>
  <si>
    <t>命水</t>
    <rPh sb="0" eb="1">
      <t>イノチ</t>
    </rPh>
    <rPh sb="1" eb="2">
      <t>ミズ</t>
    </rPh>
    <phoneticPr fontId="2"/>
  </si>
  <si>
    <t>不詳</t>
    <rPh sb="0" eb="2">
      <t>フショウ</t>
    </rPh>
    <phoneticPr fontId="2"/>
  </si>
  <si>
    <t>女性</t>
    <rPh sb="0" eb="2">
      <t>ジョセイ</t>
    </rPh>
    <phoneticPr fontId="2"/>
  </si>
  <si>
    <t>3,4</t>
    <phoneticPr fontId="2"/>
  </si>
  <si>
    <t>戦士：1</t>
  </si>
  <si>
    <t>受身：初歩</t>
  </si>
  <si>
    <t>携帯食</t>
    <rPh sb="0" eb="3">
      <t>ケイタイショク</t>
    </rPh>
    <phoneticPr fontId="2"/>
  </si>
  <si>
    <t>冒険者技能_職業共通</t>
  </si>
  <si>
    <t>受け流し：初歩</t>
  </si>
  <si>
    <t>強打攻撃・斬：初歩</t>
  </si>
  <si>
    <t>武器：片手剣：初歩</t>
  </si>
  <si>
    <t>鎧：衣鎧：初歩</t>
  </si>
  <si>
    <t>火の遣い手：初歩</t>
  </si>
  <si>
    <t>呪文熟達：攻撃呪文：初歩</t>
  </si>
  <si>
    <t>呪文増強：威力：初歩</t>
  </si>
  <si>
    <t>暗視：初歩</t>
  </si>
  <si>
    <t>芸能：歌唱：初歩</t>
  </si>
  <si>
    <t>交渉：説得：初歩</t>
  </si>
  <si>
    <t>職人：鍛冶：初歩</t>
  </si>
  <si>
    <t>信仰心：至高神：初歩</t>
  </si>
  <si>
    <t>生産業：農業：初歩</t>
  </si>
  <si>
    <t>粗悪な剣</t>
  </si>
  <si>
    <t>鮫刃の剣</t>
    <rPh sb="0" eb="1">
      <t>サメ</t>
    </rPh>
    <rPh sb="1" eb="2">
      <t>ヤイバ</t>
    </rPh>
    <rPh sb="3" eb="4">
      <t>ケン</t>
    </rPh>
    <phoneticPr fontId="2"/>
  </si>
  <si>
    <t>袋棍</t>
  </si>
  <si>
    <t>短弓</t>
  </si>
  <si>
    <t>投石</t>
  </si>
  <si>
    <t>粗悪な斧</t>
  </si>
  <si>
    <t>粗悪な槍</t>
  </si>
  <si>
    <t>投石杖（棍杖）</t>
  </si>
  <si>
    <t>素手攻撃（片手）</t>
  </si>
  <si>
    <t>外套</t>
    <rPh sb="0" eb="2">
      <t>ガイトウ</t>
    </rPh>
    <phoneticPr fontId="2"/>
  </si>
  <si>
    <t>野伏の外套</t>
    <rPh sb="0" eb="2">
      <t>ノブセ</t>
    </rPh>
    <rPh sb="3" eb="5">
      <t>ガイトウ</t>
    </rPh>
    <phoneticPr fontId="2"/>
  </si>
  <si>
    <t>鎖帷子</t>
    <rPh sb="0" eb="3">
      <t>クサリカタビラ</t>
    </rPh>
    <phoneticPr fontId="2"/>
  </si>
  <si>
    <t>尖盾</t>
    <rPh sb="0" eb="1">
      <t>トガ</t>
    </rPh>
    <rPh sb="1" eb="2">
      <t>タテ</t>
    </rPh>
    <phoneticPr fontId="2"/>
  </si>
  <si>
    <t>地母神</t>
    <rPh sb="0" eb="3">
      <t>チボシン</t>
    </rPh>
    <phoneticPr fontId="2"/>
  </si>
  <si>
    <t>森人</t>
    <rPh sb="0" eb="1">
      <t>モリ</t>
    </rPh>
    <rPh sb="1" eb="2">
      <t>ビト</t>
    </rPh>
    <phoneticPr fontId="2"/>
  </si>
  <si>
    <t>鋼鉄等級</t>
    <rPh sb="0" eb="2">
      <t>コウテツ</t>
    </rPh>
    <rPh sb="2" eb="4">
      <t>トウキュウ</t>
    </rPh>
    <phoneticPr fontId="2"/>
  </si>
  <si>
    <t>習熟</t>
    <rPh sb="0" eb="2">
      <t>シュウジュク</t>
    </rPh>
    <phoneticPr fontId="2"/>
  </si>
  <si>
    <t>解錠</t>
    <rPh sb="0" eb="2">
      <t>カイジョウ</t>
    </rPh>
    <phoneticPr fontId="2"/>
  </si>
  <si>
    <t>沈黙</t>
    <rPh sb="0" eb="2">
      <t>チンモク</t>
    </rPh>
    <phoneticPr fontId="2"/>
  </si>
  <si>
    <t>念話</t>
    <rPh sb="0" eb="1">
      <t>ネン</t>
    </rPh>
    <rPh sb="1" eb="2">
      <t>ワ</t>
    </rPh>
    <phoneticPr fontId="2"/>
  </si>
  <si>
    <t>燐光</t>
    <rPh sb="0" eb="2">
      <t>リンコウ</t>
    </rPh>
    <phoneticPr fontId="2"/>
  </si>
  <si>
    <t>鍵開け道具</t>
    <rPh sb="0" eb="2">
      <t>カギア</t>
    </rPh>
    <rPh sb="3" eb="5">
      <t>ドウグ</t>
    </rPh>
    <phoneticPr fontId="2"/>
  </si>
  <si>
    <t>未達成</t>
    <rPh sb="0" eb="3">
      <t>ミタッセイ</t>
    </rPh>
    <phoneticPr fontId="2"/>
  </si>
  <si>
    <t>14歳以下</t>
    <rPh sb="2" eb="5">
      <t>サイイカ</t>
    </rPh>
    <phoneticPr fontId="2"/>
  </si>
  <si>
    <t>その他</t>
    <rPh sb="2" eb="3">
      <t>タ</t>
    </rPh>
    <phoneticPr fontId="2"/>
  </si>
  <si>
    <t>5,6</t>
    <phoneticPr fontId="2"/>
  </si>
  <si>
    <t>戦士：2</t>
  </si>
  <si>
    <t>受身：習熟</t>
  </si>
  <si>
    <t>応急手当：初歩</t>
  </si>
  <si>
    <t>水袋</t>
    <rPh sb="0" eb="1">
      <t>ミズ</t>
    </rPh>
    <rPh sb="1" eb="2">
      <t>ブクロ</t>
    </rPh>
    <phoneticPr fontId="2"/>
  </si>
  <si>
    <t>冒険者技能_戦士系職業向け</t>
  </si>
  <si>
    <t>受け流し：習熟</t>
  </si>
  <si>
    <t>強打攻撃・斬：習熟</t>
  </si>
  <si>
    <t>武器：片手剣：習熟</t>
  </si>
  <si>
    <t>鎧：衣鎧：習熟</t>
  </si>
  <si>
    <t>火の遣い手：習熟</t>
  </si>
  <si>
    <t>呪文熟達：攻撃呪文：習熟</t>
  </si>
  <si>
    <t>呪文増強：威力：習熟</t>
  </si>
  <si>
    <t>呪文追加：真言呪文：習熟</t>
  </si>
  <si>
    <t>暗視：習熟</t>
  </si>
  <si>
    <t>芸能：歌唱：習熟</t>
  </si>
  <si>
    <t>交渉：説得：習熟</t>
  </si>
  <si>
    <t>職人：鍛冶：習熟</t>
  </si>
  <si>
    <t>信仰心：至高神：習熟</t>
  </si>
  <si>
    <t>生産業：農業：習熟</t>
  </si>
  <si>
    <t>短剣</t>
  </si>
  <si>
    <t>棍棒</t>
  </si>
  <si>
    <t>投矢銃</t>
  </si>
  <si>
    <t>投矢</t>
  </si>
  <si>
    <t>鉈</t>
  </si>
  <si>
    <t>投槍</t>
  </si>
  <si>
    <t>紅玉の杖</t>
  </si>
  <si>
    <t>素手攻撃（両手）</t>
  </si>
  <si>
    <t>布鎧</t>
    <rPh sb="0" eb="1">
      <t>ヌノ</t>
    </rPh>
    <rPh sb="1" eb="2">
      <t>ヨロイ</t>
    </rPh>
    <phoneticPr fontId="2"/>
  </si>
  <si>
    <t>狩人の外套</t>
    <rPh sb="0" eb="2">
      <t>カリウド</t>
    </rPh>
    <rPh sb="3" eb="5">
      <t>ガイトウ</t>
    </rPh>
    <phoneticPr fontId="2"/>
  </si>
  <si>
    <t>鱗状鎧</t>
    <rPh sb="0" eb="1">
      <t>ウロコ</t>
    </rPh>
    <rPh sb="1" eb="2">
      <t>ジョウ</t>
    </rPh>
    <rPh sb="2" eb="3">
      <t>ヨロイ</t>
    </rPh>
    <phoneticPr fontId="2"/>
  </si>
  <si>
    <t>小盾</t>
    <rPh sb="0" eb="1">
      <t>チイ</t>
    </rPh>
    <rPh sb="1" eb="2">
      <t>タテ</t>
    </rPh>
    <phoneticPr fontId="2"/>
  </si>
  <si>
    <t>馬上盾</t>
    <rPh sb="0" eb="2">
      <t>バジョウ</t>
    </rPh>
    <rPh sb="2" eb="3">
      <t>タテ</t>
    </rPh>
    <phoneticPr fontId="2"/>
  </si>
  <si>
    <t>至高神</t>
    <rPh sb="0" eb="2">
      <t>シコウ</t>
    </rPh>
    <rPh sb="2" eb="3">
      <t>シン</t>
    </rPh>
    <phoneticPr fontId="2"/>
  </si>
  <si>
    <t>蜥蜴人</t>
    <rPh sb="0" eb="2">
      <t>トカゲ</t>
    </rPh>
    <rPh sb="2" eb="3">
      <t>ヒト</t>
    </rPh>
    <phoneticPr fontId="2"/>
  </si>
  <si>
    <t>青玉等級</t>
    <rPh sb="0" eb="1">
      <t>セイ</t>
    </rPh>
    <rPh sb="1" eb="2">
      <t>ギョク</t>
    </rPh>
    <rPh sb="2" eb="4">
      <t>トウキュウ</t>
    </rPh>
    <phoneticPr fontId="2"/>
  </si>
  <si>
    <t>熟練</t>
    <rPh sb="0" eb="2">
      <t>ジュクレン</t>
    </rPh>
    <phoneticPr fontId="2"/>
  </si>
  <si>
    <t>贋金</t>
    <rPh sb="0" eb="2">
      <t>ニセガネ</t>
    </rPh>
    <phoneticPr fontId="2"/>
  </si>
  <si>
    <t>聖域</t>
    <rPh sb="0" eb="2">
      <t>セイイキ</t>
    </rPh>
    <phoneticPr fontId="2"/>
  </si>
  <si>
    <t>竜牙刀／竜爪</t>
    <rPh sb="0" eb="1">
      <t>リュウ</t>
    </rPh>
    <rPh sb="1" eb="2">
      <t>ガ</t>
    </rPh>
    <rPh sb="2" eb="3">
      <t>トウ</t>
    </rPh>
    <rPh sb="4" eb="5">
      <t>リュウ</t>
    </rPh>
    <rPh sb="5" eb="6">
      <t>ツメ</t>
    </rPh>
    <phoneticPr fontId="2"/>
  </si>
  <si>
    <t>隠蔽</t>
    <rPh sb="0" eb="2">
      <t>インペイ</t>
    </rPh>
    <phoneticPr fontId="2"/>
  </si>
  <si>
    <t>化粧道具</t>
    <rPh sb="0" eb="2">
      <t>ケショウ</t>
    </rPh>
    <rPh sb="2" eb="4">
      <t>ドウグ</t>
    </rPh>
    <phoneticPr fontId="2"/>
  </si>
  <si>
    <t>自称15</t>
    <rPh sb="0" eb="2">
      <t>ジショウ</t>
    </rPh>
    <phoneticPr fontId="2"/>
  </si>
  <si>
    <t>受身：熟練</t>
  </si>
  <si>
    <t>隠密：初歩</t>
  </si>
  <si>
    <t>松明</t>
    <rPh sb="0" eb="2">
      <t>タイマツ</t>
    </rPh>
    <phoneticPr fontId="2"/>
  </si>
  <si>
    <t>冒険者技能_戦士系職業向け_強打攻撃</t>
  </si>
  <si>
    <t>受け流し：熟練</t>
  </si>
  <si>
    <t>強打攻撃・斬：熟練</t>
  </si>
  <si>
    <t>武器：片手剣：熟練</t>
  </si>
  <si>
    <t>鎧：衣鎧：熟練</t>
  </si>
  <si>
    <t>火の遣い手：熟練</t>
  </si>
  <si>
    <t>呪文熟達：攻撃呪文：熟練</t>
  </si>
  <si>
    <t>呪文増強：威力：熟練</t>
  </si>
  <si>
    <t>呪文追加：真言呪文：熟練</t>
  </si>
  <si>
    <t>暗視：熟練</t>
  </si>
  <si>
    <t>芸能：歌唱：熟練</t>
  </si>
  <si>
    <t>交渉：説得：熟練</t>
  </si>
  <si>
    <t>職人：鍛冶：熟練</t>
  </si>
  <si>
    <t>信仰心：至高神：熟練</t>
  </si>
  <si>
    <t>生産業：農業：熟練</t>
  </si>
  <si>
    <t>拳剣</t>
  </si>
  <si>
    <t>片手半剣（片手）</t>
    <rPh sb="0" eb="2">
      <t>カタテ</t>
    </rPh>
    <rPh sb="2" eb="3">
      <t>ハン</t>
    </rPh>
    <rPh sb="3" eb="4">
      <t>ケン</t>
    </rPh>
    <rPh sb="5" eb="7">
      <t>カタテ</t>
    </rPh>
    <phoneticPr fontId="2"/>
  </si>
  <si>
    <t>戦棍</t>
  </si>
  <si>
    <t>弩</t>
  </si>
  <si>
    <t>投分銅</t>
  </si>
  <si>
    <t>手斧</t>
  </si>
  <si>
    <t>短槍</t>
  </si>
  <si>
    <t>錫杖</t>
  </si>
  <si>
    <t>拳帯（片手）</t>
  </si>
  <si>
    <t>旅人の外套</t>
    <rPh sb="0" eb="2">
      <t>タビビト</t>
    </rPh>
    <rPh sb="3" eb="5">
      <t>ガイトウ</t>
    </rPh>
    <phoneticPr fontId="2"/>
  </si>
  <si>
    <t>革鎧</t>
    <rPh sb="0" eb="1">
      <t>カワ</t>
    </rPh>
    <rPh sb="1" eb="2">
      <t>ヨロイ</t>
    </rPh>
    <phoneticPr fontId="2"/>
  </si>
  <si>
    <t>板状鎧</t>
    <rPh sb="0" eb="1">
      <t>イタ</t>
    </rPh>
    <rPh sb="1" eb="2">
      <t>ジョウ</t>
    </rPh>
    <rPh sb="2" eb="3">
      <t>ヨロイ</t>
    </rPh>
    <phoneticPr fontId="2"/>
  </si>
  <si>
    <t>円盾</t>
    <rPh sb="0" eb="1">
      <t>エン</t>
    </rPh>
    <rPh sb="1" eb="2">
      <t>タテ</t>
    </rPh>
    <phoneticPr fontId="2"/>
  </si>
  <si>
    <t>騎士盾</t>
    <rPh sb="0" eb="2">
      <t>キシ</t>
    </rPh>
    <rPh sb="2" eb="3">
      <t>タテ</t>
    </rPh>
    <phoneticPr fontId="2"/>
  </si>
  <si>
    <t>知識神</t>
    <rPh sb="0" eb="2">
      <t>チシキ</t>
    </rPh>
    <rPh sb="2" eb="3">
      <t>シン</t>
    </rPh>
    <phoneticPr fontId="2"/>
  </si>
  <si>
    <t>圃人</t>
    <rPh sb="0" eb="1">
      <t>ホ</t>
    </rPh>
    <rPh sb="1" eb="2">
      <t>ヒト</t>
    </rPh>
    <phoneticPr fontId="2"/>
  </si>
  <si>
    <t>翠玉等級</t>
    <rPh sb="0" eb="1">
      <t>スイ</t>
    </rPh>
    <rPh sb="1" eb="2">
      <t>ギョク</t>
    </rPh>
    <rPh sb="2" eb="4">
      <t>トウキュウ</t>
    </rPh>
    <phoneticPr fontId="2"/>
  </si>
  <si>
    <t>達人</t>
    <rPh sb="0" eb="2">
      <t>タツジン</t>
    </rPh>
    <phoneticPr fontId="2"/>
  </si>
  <si>
    <t>通訳</t>
    <rPh sb="0" eb="2">
      <t>ツウヤク</t>
    </rPh>
    <phoneticPr fontId="2"/>
  </si>
  <si>
    <t>敵意</t>
    <rPh sb="0" eb="2">
      <t>テキイ</t>
    </rPh>
    <phoneticPr fontId="2"/>
  </si>
  <si>
    <t>敵意（祖霊術）</t>
    <rPh sb="0" eb="2">
      <t>テキイ</t>
    </rPh>
    <rPh sb="3" eb="5">
      <t>ソレイ</t>
    </rPh>
    <rPh sb="5" eb="6">
      <t>ジュツ</t>
    </rPh>
    <phoneticPr fontId="2"/>
  </si>
  <si>
    <t>風化</t>
    <rPh sb="0" eb="2">
      <t>フウカ</t>
    </rPh>
    <phoneticPr fontId="2"/>
  </si>
  <si>
    <t>調理道具</t>
    <rPh sb="0" eb="2">
      <t>チョウリ</t>
    </rPh>
    <rPh sb="2" eb="4">
      <t>ドウグ</t>
    </rPh>
    <phoneticPr fontId="2"/>
  </si>
  <si>
    <t>戦士：4</t>
  </si>
  <si>
    <t>受身：達人</t>
  </si>
  <si>
    <t>頑健：初歩</t>
  </si>
  <si>
    <t>油</t>
    <rPh sb="0" eb="1">
      <t>アブラ</t>
    </rPh>
    <phoneticPr fontId="2"/>
  </si>
  <si>
    <t>冒険者技能_戦士系職業向け_武器</t>
  </si>
  <si>
    <t>受け流し：達人</t>
  </si>
  <si>
    <t>強打攻撃・斬：達人</t>
  </si>
  <si>
    <t>武器：片手剣：達人</t>
  </si>
  <si>
    <t>鎧：衣鎧：達人</t>
  </si>
  <si>
    <t>火の遣い手：達人</t>
  </si>
  <si>
    <t>呪文熟達：攻撃呪文：達人</t>
  </si>
  <si>
    <t>呪文増強：威力：達人</t>
  </si>
  <si>
    <t>呪文追加：真言呪文：達人</t>
  </si>
  <si>
    <t>鑑定：初歩</t>
  </si>
  <si>
    <t>芸能：演奏：初歩</t>
  </si>
  <si>
    <t>交渉：誘惑：初歩</t>
  </si>
  <si>
    <t>職人：裁縫：初歩</t>
  </si>
  <si>
    <t>信仰心：地母神：初歩</t>
  </si>
  <si>
    <t>生産業：漁業：初歩</t>
  </si>
  <si>
    <t>黒曜の剣</t>
  </si>
  <si>
    <t>片手半剣（両手）</t>
    <rPh sb="0" eb="2">
      <t>カタテ</t>
    </rPh>
    <rPh sb="2" eb="3">
      <t>ハン</t>
    </rPh>
    <rPh sb="3" eb="4">
      <t>ケン</t>
    </rPh>
    <rPh sb="5" eb="7">
      <t>リョウテ</t>
    </rPh>
    <phoneticPr fontId="2"/>
  </si>
  <si>
    <t>片鶴嘴</t>
  </si>
  <si>
    <t>長弓</t>
  </si>
  <si>
    <t>飛棍</t>
  </si>
  <si>
    <t>投斧</t>
  </si>
  <si>
    <t>小槍（片手）</t>
  </si>
  <si>
    <t>司教杖</t>
  </si>
  <si>
    <t>拳帯（両手）</t>
  </si>
  <si>
    <t>綿鎧</t>
    <rPh sb="0" eb="1">
      <t>メン</t>
    </rPh>
    <rPh sb="1" eb="2">
      <t>ヨロイ</t>
    </rPh>
    <phoneticPr fontId="2"/>
  </si>
  <si>
    <t>硬い革鎧</t>
    <rPh sb="0" eb="1">
      <t>カタ</t>
    </rPh>
    <rPh sb="2" eb="3">
      <t>カワ</t>
    </rPh>
    <rPh sb="3" eb="4">
      <t>ヨロイ</t>
    </rPh>
    <phoneticPr fontId="2"/>
  </si>
  <si>
    <t>小札鎧</t>
    <rPh sb="0" eb="1">
      <t>ショウ</t>
    </rPh>
    <rPh sb="1" eb="2">
      <t>フダ</t>
    </rPh>
    <rPh sb="2" eb="3">
      <t>ヨロイ</t>
    </rPh>
    <phoneticPr fontId="2"/>
  </si>
  <si>
    <t>吊盾</t>
    <rPh sb="0" eb="1">
      <t>ツリ</t>
    </rPh>
    <rPh sb="1" eb="2">
      <t>タテ</t>
    </rPh>
    <phoneticPr fontId="2"/>
  </si>
  <si>
    <t>大盾</t>
    <rPh sb="0" eb="1">
      <t>ダイ</t>
    </rPh>
    <rPh sb="1" eb="2">
      <t>タテ</t>
    </rPh>
    <phoneticPr fontId="2"/>
  </si>
  <si>
    <t>交易神</t>
    <rPh sb="0" eb="2">
      <t>コウエキ</t>
    </rPh>
    <rPh sb="2" eb="3">
      <t>シン</t>
    </rPh>
    <phoneticPr fontId="2"/>
  </si>
  <si>
    <t>紅玉等級</t>
    <rPh sb="0" eb="2">
      <t>コウギョク</t>
    </rPh>
    <rPh sb="2" eb="4">
      <t>トウキュウ</t>
    </rPh>
    <phoneticPr fontId="2"/>
  </si>
  <si>
    <t>伝説</t>
    <rPh sb="0" eb="2">
      <t>デンセツ</t>
    </rPh>
    <phoneticPr fontId="2"/>
  </si>
  <si>
    <t>天候</t>
    <rPh sb="0" eb="2">
      <t>テンコウ</t>
    </rPh>
    <phoneticPr fontId="2"/>
  </si>
  <si>
    <t>看破</t>
    <rPh sb="0" eb="2">
      <t>カンパ</t>
    </rPh>
    <phoneticPr fontId="2"/>
  </si>
  <si>
    <t>突撃</t>
    <rPh sb="0" eb="2">
      <t>トツゲキ</t>
    </rPh>
    <phoneticPr fontId="2"/>
  </si>
  <si>
    <t>水歩</t>
    <rPh sb="0" eb="1">
      <t>ミズ</t>
    </rPh>
    <rPh sb="1" eb="2">
      <t>アル</t>
    </rPh>
    <phoneticPr fontId="2"/>
  </si>
  <si>
    <t>手当道具</t>
    <rPh sb="0" eb="2">
      <t>テアテ</t>
    </rPh>
    <rPh sb="2" eb="4">
      <t>ドウグ</t>
    </rPh>
    <phoneticPr fontId="2"/>
  </si>
  <si>
    <t>中性</t>
    <rPh sb="0" eb="2">
      <t>チュウセイ</t>
    </rPh>
    <phoneticPr fontId="2"/>
  </si>
  <si>
    <t>戦士：5</t>
  </si>
  <si>
    <t>受身：伝説</t>
  </si>
  <si>
    <t>観察：初歩</t>
  </si>
  <si>
    <t>石弾</t>
  </si>
  <si>
    <t>冒険者技能_戦士系職業向け_鎧</t>
  </si>
  <si>
    <t>受け流し：伝説</t>
  </si>
  <si>
    <t>強打攻撃・斬：伝説</t>
  </si>
  <si>
    <t>武器：片手剣：伝説</t>
  </si>
  <si>
    <t>鎧：衣鎧：伝説</t>
  </si>
  <si>
    <t>火の遣い手：伝説</t>
  </si>
  <si>
    <t>呪文熟達：攻撃呪文：伝説</t>
  </si>
  <si>
    <t>呪文増強：威力：伝説</t>
  </si>
  <si>
    <t>呪文追加：真言呪文：伝説</t>
  </si>
  <si>
    <t>鑑定：習熟</t>
  </si>
  <si>
    <t>芸能：演奏：習熟</t>
  </si>
  <si>
    <t>交渉：誘惑：習熟</t>
  </si>
  <si>
    <t>職人：裁縫：習熟</t>
  </si>
  <si>
    <t>信仰心：地母神：習熟</t>
  </si>
  <si>
    <t>生産業：漁業：習熟</t>
  </si>
  <si>
    <t>舶刀</t>
  </si>
  <si>
    <t>鎧通し</t>
    <rPh sb="0" eb="1">
      <t>ヨロイ</t>
    </rPh>
    <rPh sb="1" eb="2">
      <t>トオ</t>
    </rPh>
    <phoneticPr fontId="2"/>
  </si>
  <si>
    <t>槌鉾</t>
  </si>
  <si>
    <t>大弓</t>
  </si>
  <si>
    <t>投石紐</t>
  </si>
  <si>
    <t>戦斧（片手）</t>
  </si>
  <si>
    <t>小槍（両手）</t>
  </si>
  <si>
    <t>六尺棒</t>
  </si>
  <si>
    <t>打布槍</t>
  </si>
  <si>
    <t>神官服</t>
    <rPh sb="0" eb="2">
      <t>シンカン</t>
    </rPh>
    <rPh sb="2" eb="3">
      <t>フク</t>
    </rPh>
    <phoneticPr fontId="2"/>
  </si>
  <si>
    <t>胸甲</t>
    <rPh sb="0" eb="1">
      <t>ムネ</t>
    </rPh>
    <rPh sb="1" eb="2">
      <t>コウ</t>
    </rPh>
    <phoneticPr fontId="2"/>
  </si>
  <si>
    <t>胴鎧</t>
    <rPh sb="0" eb="1">
      <t>ドウ</t>
    </rPh>
    <rPh sb="1" eb="2">
      <t>ヨロイ</t>
    </rPh>
    <phoneticPr fontId="2"/>
  </si>
  <si>
    <t>投火盾</t>
    <rPh sb="0" eb="1">
      <t>ナ</t>
    </rPh>
    <rPh sb="1" eb="2">
      <t>ヒ</t>
    </rPh>
    <rPh sb="2" eb="3">
      <t>タテ</t>
    </rPh>
    <phoneticPr fontId="2"/>
  </si>
  <si>
    <t>戦女神</t>
    <rPh sb="0" eb="1">
      <t>イクサ</t>
    </rPh>
    <rPh sb="1" eb="3">
      <t>メガミ</t>
    </rPh>
    <phoneticPr fontId="2"/>
  </si>
  <si>
    <t>銅等級</t>
    <rPh sb="0" eb="1">
      <t>ドウ</t>
    </rPh>
    <rPh sb="1" eb="3">
      <t>トウキュウ</t>
    </rPh>
    <phoneticPr fontId="2"/>
  </si>
  <si>
    <t>解呪</t>
    <rPh sb="0" eb="2">
      <t>カイジュ</t>
    </rPh>
    <phoneticPr fontId="2"/>
  </si>
  <si>
    <t>狩場</t>
    <rPh sb="0" eb="2">
      <t>カリバ</t>
    </rPh>
    <phoneticPr fontId="2"/>
  </si>
  <si>
    <t>猫目</t>
    <rPh sb="0" eb="2">
      <t>ネコメ</t>
    </rPh>
    <phoneticPr fontId="2"/>
  </si>
  <si>
    <t>罠師道具</t>
    <rPh sb="0" eb="1">
      <t>ワナ</t>
    </rPh>
    <rPh sb="1" eb="2">
      <t>シ</t>
    </rPh>
    <rPh sb="2" eb="4">
      <t>ドウグ</t>
    </rPh>
    <phoneticPr fontId="2"/>
  </si>
  <si>
    <t>両性具有</t>
    <rPh sb="0" eb="2">
      <t>リョウセイ</t>
    </rPh>
    <rPh sb="2" eb="4">
      <t>グユウ</t>
    </rPh>
    <phoneticPr fontId="2"/>
  </si>
  <si>
    <t>戦士：6</t>
  </si>
  <si>
    <t>矢</t>
  </si>
  <si>
    <t>冒険者技能_呪文遣い職業向け</t>
  </si>
  <si>
    <t>荷重行動：初歩</t>
  </si>
  <si>
    <t>強打攻撃・殴：初歩</t>
  </si>
  <si>
    <t>武器：両手剣：初歩</t>
  </si>
  <si>
    <t>鎧：軽鎧：初歩</t>
  </si>
  <si>
    <t>水の遣い手：初歩</t>
  </si>
  <si>
    <t>呪文追加：奇跡：初歩</t>
  </si>
  <si>
    <t>鑑定：熟練</t>
  </si>
  <si>
    <t>芸能：演奏：熟練</t>
  </si>
  <si>
    <t>交渉：誘惑：熟練</t>
  </si>
  <si>
    <t>職人：裁縫：熟練</t>
  </si>
  <si>
    <t>信仰心：地母神：熟練</t>
  </si>
  <si>
    <t>生産業：漁業：熟練</t>
  </si>
  <si>
    <t>小剣</t>
  </si>
  <si>
    <t>炎紋剣</t>
    <rPh sb="0" eb="1">
      <t>エン</t>
    </rPh>
    <rPh sb="1" eb="2">
      <t>モン</t>
    </rPh>
    <rPh sb="2" eb="3">
      <t>ケン</t>
    </rPh>
    <phoneticPr fontId="2"/>
  </si>
  <si>
    <t>刺鉄球</t>
  </si>
  <si>
    <t>弩砲</t>
  </si>
  <si>
    <t>飛刀</t>
  </si>
  <si>
    <t>戦斧（両手）</t>
  </si>
  <si>
    <t>鉄小槍（片手）</t>
  </si>
  <si>
    <t>双節棍</t>
  </si>
  <si>
    <t>旋棍</t>
  </si>
  <si>
    <t>司教服</t>
    <rPh sb="0" eb="2">
      <t>シキョウ</t>
    </rPh>
    <rPh sb="2" eb="3">
      <t>フク</t>
    </rPh>
    <phoneticPr fontId="2"/>
  </si>
  <si>
    <t>下着鎧</t>
    <rPh sb="0" eb="2">
      <t>シタギ</t>
    </rPh>
    <rPh sb="2" eb="3">
      <t>ヨロイ</t>
    </rPh>
    <phoneticPr fontId="2"/>
  </si>
  <si>
    <t>板金鎧</t>
    <rPh sb="0" eb="1">
      <t>イタ</t>
    </rPh>
    <rPh sb="1" eb="2">
      <t>キン</t>
    </rPh>
    <rPh sb="2" eb="3">
      <t>ヨロイ</t>
    </rPh>
    <phoneticPr fontId="2"/>
  </si>
  <si>
    <t>魔法の小盾（＋１）</t>
    <rPh sb="0" eb="2">
      <t>マホウ</t>
    </rPh>
    <rPh sb="3" eb="4">
      <t>チイ</t>
    </rPh>
    <rPh sb="4" eb="5">
      <t>タテ</t>
    </rPh>
    <phoneticPr fontId="2"/>
  </si>
  <si>
    <t>上位神</t>
    <rPh sb="0" eb="2">
      <t>ジョウイ</t>
    </rPh>
    <rPh sb="2" eb="3">
      <t>シン</t>
    </rPh>
    <phoneticPr fontId="2"/>
  </si>
  <si>
    <t>銀等級</t>
    <rPh sb="0" eb="1">
      <t>ギン</t>
    </rPh>
    <rPh sb="1" eb="3">
      <t>トウキュウ</t>
    </rPh>
    <phoneticPr fontId="2"/>
  </si>
  <si>
    <t>力与</t>
    <rPh sb="0" eb="1">
      <t>チカラ</t>
    </rPh>
    <rPh sb="1" eb="2">
      <t>アタ</t>
    </rPh>
    <phoneticPr fontId="2"/>
  </si>
  <si>
    <t>鎮静</t>
    <rPh sb="0" eb="2">
      <t>チンセイ</t>
    </rPh>
    <phoneticPr fontId="2"/>
  </si>
  <si>
    <t>竜眼</t>
    <rPh sb="0" eb="1">
      <t>リュウ</t>
    </rPh>
    <rPh sb="1" eb="2">
      <t>ガン</t>
    </rPh>
    <phoneticPr fontId="2"/>
  </si>
  <si>
    <t>雨乞</t>
    <rPh sb="0" eb="2">
      <t>アマゴ</t>
    </rPh>
    <phoneticPr fontId="2"/>
  </si>
  <si>
    <t>戦士：7</t>
  </si>
  <si>
    <t>応急手当：習熟</t>
  </si>
  <si>
    <t>幸運：初歩</t>
  </si>
  <si>
    <t>太矢</t>
  </si>
  <si>
    <t>冒険者技能_呪文遣い職業向け_遣い手</t>
  </si>
  <si>
    <t>荷重行動：習熟</t>
  </si>
  <si>
    <t>強打攻撃・殴：習熟</t>
  </si>
  <si>
    <t>鎧：軽鎧：習熟</t>
  </si>
  <si>
    <t>水の遣い手：習熟</t>
  </si>
  <si>
    <t>呪文熟達：付与呪文：習熟</t>
  </si>
  <si>
    <t>呪文追加：奇跡：習熟</t>
  </si>
  <si>
    <t>騎乗：初歩</t>
  </si>
  <si>
    <t>芸能：舞踊：初歩</t>
  </si>
  <si>
    <t>交渉：脅迫：初歩</t>
  </si>
  <si>
    <t>職人：木工：初歩</t>
  </si>
  <si>
    <t>信仰心：交易神：初歩</t>
  </si>
  <si>
    <t>生産業：林業：初歩</t>
  </si>
  <si>
    <t>偃月刀</t>
  </si>
  <si>
    <t>大剣</t>
    <rPh sb="0" eb="2">
      <t>タイケン</t>
    </rPh>
    <phoneticPr fontId="2"/>
  </si>
  <si>
    <t>戦嘴</t>
  </si>
  <si>
    <t>抱大筒</t>
  </si>
  <si>
    <t>戦輪</t>
  </si>
  <si>
    <t>大斧</t>
  </si>
  <si>
    <t>鉄小槍（両手）</t>
  </si>
  <si>
    <t>打狗棒</t>
  </si>
  <si>
    <t>虎爪（片手）</t>
  </si>
  <si>
    <t>鋲付きの革鎧</t>
    <rPh sb="0" eb="1">
      <t>ビョウ</t>
    </rPh>
    <rPh sb="1" eb="2">
      <t>ツ</t>
    </rPh>
    <rPh sb="4" eb="5">
      <t>カワ</t>
    </rPh>
    <rPh sb="5" eb="6">
      <t>ヨロイ</t>
    </rPh>
    <phoneticPr fontId="2"/>
  </si>
  <si>
    <t>当世具足</t>
    <rPh sb="0" eb="2">
      <t>トウセイ</t>
    </rPh>
    <rPh sb="2" eb="4">
      <t>グソク</t>
    </rPh>
    <phoneticPr fontId="2"/>
  </si>
  <si>
    <t>竜鱗の吊盾</t>
    <rPh sb="0" eb="1">
      <t>リュウ</t>
    </rPh>
    <rPh sb="1" eb="2">
      <t>ウロコ</t>
    </rPh>
    <rPh sb="3" eb="4">
      <t>ツリ</t>
    </rPh>
    <rPh sb="4" eb="5">
      <t>タテ</t>
    </rPh>
    <phoneticPr fontId="2"/>
  </si>
  <si>
    <t>邪神</t>
    <rPh sb="0" eb="2">
      <t>ジャシン</t>
    </rPh>
    <phoneticPr fontId="2"/>
  </si>
  <si>
    <t>金等級</t>
    <rPh sb="0" eb="1">
      <t>キン</t>
    </rPh>
    <rPh sb="1" eb="3">
      <t>トウキュウ</t>
    </rPh>
    <phoneticPr fontId="2"/>
  </si>
  <si>
    <t>賦活</t>
    <rPh sb="0" eb="2">
      <t>フカツ</t>
    </rPh>
    <phoneticPr fontId="2"/>
  </si>
  <si>
    <t>竜鱗</t>
    <rPh sb="0" eb="1">
      <t>リュウ</t>
    </rPh>
    <rPh sb="1" eb="2">
      <t>ウロコ</t>
    </rPh>
    <phoneticPr fontId="2"/>
  </si>
  <si>
    <t>使役</t>
    <rPh sb="0" eb="2">
      <t>シエキ</t>
    </rPh>
    <phoneticPr fontId="2"/>
  </si>
  <si>
    <t>戦士：8</t>
  </si>
  <si>
    <t>応急手当：熟練</t>
  </si>
  <si>
    <t>呪文抵抗：初歩</t>
  </si>
  <si>
    <t>冒険者技能_呪文遣い職業向け_呪文熟達</t>
  </si>
  <si>
    <t>荷重行動：熟練</t>
  </si>
  <si>
    <t>強打攻撃・殴：熟練</t>
  </si>
  <si>
    <t>武器：両手剣：熟練</t>
  </si>
  <si>
    <t>鎧：軽鎧：熟練</t>
  </si>
  <si>
    <t>水の遣い手：熟練</t>
  </si>
  <si>
    <t>呪文熟達：付与呪文：熟練</t>
  </si>
  <si>
    <t>呪文追加：奇跡：熟練</t>
  </si>
  <si>
    <t>騎乗：習熟</t>
  </si>
  <si>
    <t>芸能：舞踊：習熟</t>
  </si>
  <si>
    <t>交渉：脅迫：習熟</t>
  </si>
  <si>
    <t>職人：木工：習熟</t>
  </si>
  <si>
    <t>信仰心：交易神：習熟</t>
  </si>
  <si>
    <t>生産業：林業：習熟</t>
  </si>
  <si>
    <t>突剣</t>
  </si>
  <si>
    <t>大戦槌</t>
  </si>
  <si>
    <t>竜髭の短弓</t>
    <rPh sb="0" eb="1">
      <t>リュウ</t>
    </rPh>
    <rPh sb="1" eb="2">
      <t>ヒゲ</t>
    </rPh>
    <phoneticPr fontId="2"/>
  </si>
  <si>
    <t>南洋式投げナイフ</t>
  </si>
  <si>
    <t>斧槍</t>
  </si>
  <si>
    <t>農叉</t>
  </si>
  <si>
    <t>連節棍</t>
  </si>
  <si>
    <t>虎爪（両手）</t>
  </si>
  <si>
    <t>魔法の鋲付きの革鎧（＋１）</t>
    <rPh sb="0" eb="2">
      <t>マホウ</t>
    </rPh>
    <rPh sb="3" eb="4">
      <t>ビョウ</t>
    </rPh>
    <rPh sb="4" eb="5">
      <t>ツ</t>
    </rPh>
    <rPh sb="7" eb="8">
      <t>カワ</t>
    </rPh>
    <rPh sb="8" eb="9">
      <t>ヨロイ</t>
    </rPh>
    <phoneticPr fontId="2"/>
  </si>
  <si>
    <t>覚知神</t>
    <rPh sb="0" eb="1">
      <t>カク</t>
    </rPh>
    <rPh sb="1" eb="2">
      <t>チ</t>
    </rPh>
    <rPh sb="2" eb="3">
      <t>シン</t>
    </rPh>
    <phoneticPr fontId="2"/>
  </si>
  <si>
    <t>小癒</t>
    <rPh sb="0" eb="1">
      <t>ショウ</t>
    </rPh>
    <rPh sb="1" eb="2">
      <t>ユ</t>
    </rPh>
    <phoneticPr fontId="2"/>
  </si>
  <si>
    <t>竜牙兵</t>
    <rPh sb="0" eb="1">
      <t>リュウ</t>
    </rPh>
    <rPh sb="1" eb="2">
      <t>キバ</t>
    </rPh>
    <phoneticPr fontId="2"/>
  </si>
  <si>
    <t>雷矢</t>
    <rPh sb="0" eb="1">
      <t>ライ</t>
    </rPh>
    <rPh sb="1" eb="2">
      <t>ヤ</t>
    </rPh>
    <phoneticPr fontId="2"/>
  </si>
  <si>
    <t>聖印</t>
    <rPh sb="0" eb="2">
      <t>セイイン</t>
    </rPh>
    <phoneticPr fontId="2"/>
  </si>
  <si>
    <t>戦士：9</t>
  </si>
  <si>
    <t>応急手当：達人</t>
  </si>
  <si>
    <t>戦術移動：初歩</t>
  </si>
  <si>
    <t>弾丸</t>
  </si>
  <si>
    <t>冒険者技能_呪文遣い職業向け_呪文増強</t>
  </si>
  <si>
    <t>荷重行動：達人</t>
  </si>
  <si>
    <t>強打攻撃・殴：達人</t>
  </si>
  <si>
    <t>武器：両手剣：達人</t>
  </si>
  <si>
    <t>鎧：軽鎧：達人</t>
  </si>
  <si>
    <t>水の遣い手：達人</t>
  </si>
  <si>
    <t>呪文熟達：付与呪文：達人</t>
  </si>
  <si>
    <t>呪文追加：奇跡：達人</t>
  </si>
  <si>
    <t>騎乗：熟練</t>
  </si>
  <si>
    <t>芸能：舞踊：熟練</t>
  </si>
  <si>
    <t>交渉：脅迫：熟練</t>
  </si>
  <si>
    <t>職人：木工：熟練</t>
  </si>
  <si>
    <t>信仰心：交易神：熟練</t>
  </si>
  <si>
    <t>生産業：林業：熟練</t>
  </si>
  <si>
    <t>広刃の剣</t>
  </si>
  <si>
    <t>大金棒</t>
  </si>
  <si>
    <t>投石杖</t>
  </si>
  <si>
    <t>三叉槍</t>
  </si>
  <si>
    <t>金砕棒</t>
  </si>
  <si>
    <t>長傘</t>
  </si>
  <si>
    <t>魔法の鋲付きの革鎧（＋２）</t>
    <rPh sb="0" eb="2">
      <t>マホウ</t>
    </rPh>
    <rPh sb="3" eb="4">
      <t>ビョウ</t>
    </rPh>
    <rPh sb="4" eb="5">
      <t>ツ</t>
    </rPh>
    <rPh sb="7" eb="8">
      <t>カワ</t>
    </rPh>
    <rPh sb="8" eb="9">
      <t>ヨロイ</t>
    </rPh>
    <phoneticPr fontId="2"/>
  </si>
  <si>
    <t>自然</t>
    <rPh sb="0" eb="2">
      <t>シゼン</t>
    </rPh>
    <phoneticPr fontId="2"/>
  </si>
  <si>
    <t>魅了</t>
    <rPh sb="0" eb="2">
      <t>ミリョウ</t>
    </rPh>
    <phoneticPr fontId="2"/>
  </si>
  <si>
    <t>聖歌</t>
    <rPh sb="0" eb="2">
      <t>セイカ</t>
    </rPh>
    <phoneticPr fontId="2"/>
  </si>
  <si>
    <t>竜血</t>
    <rPh sb="0" eb="1">
      <t>リュウ</t>
    </rPh>
    <rPh sb="1" eb="2">
      <t>チ</t>
    </rPh>
    <phoneticPr fontId="2"/>
  </si>
  <si>
    <t>石弾</t>
    <rPh sb="0" eb="1">
      <t>イシ</t>
    </rPh>
    <rPh sb="1" eb="2">
      <t>タマ</t>
    </rPh>
    <phoneticPr fontId="2"/>
  </si>
  <si>
    <t>竜司祭の触媒入れ</t>
    <rPh sb="0" eb="1">
      <t>リュウ</t>
    </rPh>
    <rPh sb="1" eb="3">
      <t>シサイ</t>
    </rPh>
    <rPh sb="4" eb="6">
      <t>ショクバイ</t>
    </rPh>
    <rPh sb="6" eb="7">
      <t>イ</t>
    </rPh>
    <phoneticPr fontId="2"/>
  </si>
  <si>
    <t>戦士：10</t>
  </si>
  <si>
    <t>応急手当：伝説</t>
  </si>
  <si>
    <t>第六感：初歩</t>
  </si>
  <si>
    <t>火の秘薬</t>
  </si>
  <si>
    <t>冒険者技能_呪文遣い職業向け_呪文追加</t>
  </si>
  <si>
    <t>荷重行動：伝説</t>
  </si>
  <si>
    <t>強打攻撃・殴：伝説</t>
  </si>
  <si>
    <t>武器：両手剣：伝説</t>
  </si>
  <si>
    <t>鎧：軽鎧：伝説</t>
  </si>
  <si>
    <t>水の遣い手：伝説</t>
  </si>
  <si>
    <t>呪文熟達：付与呪文：伝説</t>
  </si>
  <si>
    <t>呪文追加：奇跡：伝説</t>
  </si>
  <si>
    <t>祈祷：初歩</t>
  </si>
  <si>
    <t>芸能：大道芸：初歩</t>
  </si>
  <si>
    <t>職人：革細工：初歩</t>
  </si>
  <si>
    <t>信仰心：知識神：初歩</t>
  </si>
  <si>
    <t>生産業：採掘：初歩</t>
  </si>
  <si>
    <t>曲刀</t>
  </si>
  <si>
    <t>血滴子</t>
  </si>
  <si>
    <t>長槍</t>
  </si>
  <si>
    <t>鞭</t>
  </si>
  <si>
    <t>鉄靴</t>
  </si>
  <si>
    <t>恐るべき竜</t>
    <rPh sb="0" eb="1">
      <t>オソ</t>
    </rPh>
    <rPh sb="4" eb="5">
      <t>リュウ</t>
    </rPh>
    <phoneticPr fontId="2"/>
  </si>
  <si>
    <t>破裂</t>
    <rPh sb="0" eb="2">
      <t>ハレツ</t>
    </rPh>
    <phoneticPr fontId="2"/>
  </si>
  <si>
    <t>浄化</t>
    <rPh sb="0" eb="2">
      <t>ジョウカ</t>
    </rPh>
    <phoneticPr fontId="2"/>
  </si>
  <si>
    <t>竜命</t>
    <rPh sb="0" eb="1">
      <t>リュウ</t>
    </rPh>
    <rPh sb="1" eb="2">
      <t>イノチ</t>
    </rPh>
    <phoneticPr fontId="2"/>
  </si>
  <si>
    <t>泥罠</t>
    <rPh sb="0" eb="1">
      <t>ドロ</t>
    </rPh>
    <rPh sb="1" eb="2">
      <t>ワナ</t>
    </rPh>
    <phoneticPr fontId="2"/>
  </si>
  <si>
    <t>武道家：1</t>
  </si>
  <si>
    <t>治癒適正：初歩</t>
  </si>
  <si>
    <t>手当道具</t>
  </si>
  <si>
    <t>一般技能</t>
  </si>
  <si>
    <t>武器：斧：初歩</t>
  </si>
  <si>
    <t>鎧：重鎧：初歩</t>
  </si>
  <si>
    <t>風の遣い手：初歩</t>
  </si>
  <si>
    <t>呪文熟達：創造呪文：初歩</t>
  </si>
  <si>
    <t>呪文追加：祖竜術：初歩</t>
  </si>
  <si>
    <t>祈祷：習熟</t>
  </si>
  <si>
    <t>芸能：大道芸：習熟</t>
  </si>
  <si>
    <t>職人：革細工：習熟</t>
  </si>
  <si>
    <t>信仰心：知識神：習熟</t>
  </si>
  <si>
    <t>生産業：採掘：習熟</t>
  </si>
  <si>
    <t>長剣（片手）</t>
  </si>
  <si>
    <t>薙刀</t>
  </si>
  <si>
    <t>聖鞭</t>
  </si>
  <si>
    <t>拳鍔（片手）</t>
  </si>
  <si>
    <t>流砂</t>
    <rPh sb="0" eb="2">
      <t>リュウサ</t>
    </rPh>
    <phoneticPr fontId="2"/>
  </si>
  <si>
    <t>祝福</t>
    <rPh sb="0" eb="2">
      <t>シュクフク</t>
    </rPh>
    <phoneticPr fontId="2"/>
  </si>
  <si>
    <t>霊壁</t>
    <rPh sb="0" eb="1">
      <t>レイ</t>
    </rPh>
    <rPh sb="1" eb="2">
      <t>カベ</t>
    </rPh>
    <phoneticPr fontId="2"/>
  </si>
  <si>
    <t>上質な触媒</t>
    <rPh sb="0" eb="2">
      <t>ジョウシツ</t>
    </rPh>
    <rPh sb="3" eb="5">
      <t>ショクバイ</t>
    </rPh>
    <phoneticPr fontId="2"/>
  </si>
  <si>
    <t>武道家：2</t>
  </si>
  <si>
    <t>隠密：習熟</t>
  </si>
  <si>
    <t>手仕事：初歩</t>
  </si>
  <si>
    <t>一般技能_芸能</t>
  </si>
  <si>
    <t>斬落攻撃：習熟</t>
  </si>
  <si>
    <t>武器：斧：習熟</t>
  </si>
  <si>
    <t>鎧：重鎧：習熟</t>
  </si>
  <si>
    <t>風の遣い手：習熟</t>
  </si>
  <si>
    <t>呪文熟達：創造呪文：習熟</t>
  </si>
  <si>
    <t>呪文追加：祖竜術：習熟</t>
  </si>
  <si>
    <t>祈祷：熟練</t>
  </si>
  <si>
    <t>芸能：大道芸：熟練</t>
  </si>
  <si>
    <t>職人：革細工：熟練</t>
  </si>
  <si>
    <t>信仰心：知識神：熟練</t>
  </si>
  <si>
    <t>生産業：採掘：熟練</t>
  </si>
  <si>
    <t>長剣（両手）</t>
  </si>
  <si>
    <t>戦槍</t>
  </si>
  <si>
    <t>拳鍔（両手）</t>
  </si>
  <si>
    <t>無手</t>
    <rPh sb="0" eb="1">
      <t>ム</t>
    </rPh>
    <rPh sb="1" eb="2">
      <t>テ</t>
    </rPh>
    <phoneticPr fontId="2"/>
  </si>
  <si>
    <t>聖壁</t>
    <rPh sb="0" eb="1">
      <t>セイ</t>
    </rPh>
    <rPh sb="1" eb="2">
      <t>ヘキ</t>
    </rPh>
    <phoneticPr fontId="2"/>
  </si>
  <si>
    <t>竜吠</t>
    <rPh sb="0" eb="1">
      <t>リュウ</t>
    </rPh>
    <rPh sb="1" eb="2">
      <t>ホ</t>
    </rPh>
    <phoneticPr fontId="2"/>
  </si>
  <si>
    <t>暗黒</t>
    <rPh sb="0" eb="2">
      <t>アンコク</t>
    </rPh>
    <phoneticPr fontId="2"/>
  </si>
  <si>
    <t>武道家：3</t>
  </si>
  <si>
    <t>隠密：熟練</t>
  </si>
  <si>
    <t>忍耐：初歩</t>
  </si>
  <si>
    <t>一般技能_交渉</t>
  </si>
  <si>
    <t>斬落攻撃：熟練</t>
  </si>
  <si>
    <t>武器：斧：熟練</t>
  </si>
  <si>
    <t>鎧：重鎧：熟練</t>
  </si>
  <si>
    <t>風の遣い手：熟練</t>
  </si>
  <si>
    <t>呪文熟達：創造呪文：熟練</t>
  </si>
  <si>
    <t>呪文追加：祖竜術：熟練</t>
  </si>
  <si>
    <t>芸能：演劇：初歩</t>
  </si>
  <si>
    <t>職人：彫金：初歩</t>
  </si>
  <si>
    <t>信仰心：戦女神：初歩</t>
  </si>
  <si>
    <t>朝露の短剣</t>
  </si>
  <si>
    <t>鉄拳</t>
  </si>
  <si>
    <t>小鬼</t>
    <rPh sb="0" eb="1">
      <t>コ</t>
    </rPh>
    <rPh sb="1" eb="2">
      <t>オニ</t>
    </rPh>
    <phoneticPr fontId="2"/>
  </si>
  <si>
    <t>聖撃</t>
    <rPh sb="0" eb="1">
      <t>セイ</t>
    </rPh>
    <rPh sb="1" eb="2">
      <t>ゲキ</t>
    </rPh>
    <phoneticPr fontId="2"/>
  </si>
  <si>
    <t>対決</t>
    <rPh sb="0" eb="2">
      <t>タイケツ</t>
    </rPh>
    <phoneticPr fontId="2"/>
  </si>
  <si>
    <t>追風</t>
    <rPh sb="0" eb="1">
      <t>オ</t>
    </rPh>
    <rPh sb="1" eb="2">
      <t>カゼ</t>
    </rPh>
    <phoneticPr fontId="2"/>
  </si>
  <si>
    <t>石弾袋</t>
    <rPh sb="0" eb="1">
      <t>イシ</t>
    </rPh>
    <rPh sb="1" eb="2">
      <t>ダン</t>
    </rPh>
    <rPh sb="2" eb="3">
      <t>フクロ</t>
    </rPh>
    <phoneticPr fontId="2"/>
  </si>
  <si>
    <t>武道家：4</t>
  </si>
  <si>
    <t>隠密：達人</t>
  </si>
  <si>
    <t>免疫強化：初歩</t>
  </si>
  <si>
    <t>一般技能_職人</t>
  </si>
  <si>
    <t>斬落攻撃：達人</t>
  </si>
  <si>
    <t>武器：斧：達人</t>
  </si>
  <si>
    <t>鎧：重鎧：達人</t>
  </si>
  <si>
    <t>風の遣い手：達人</t>
  </si>
  <si>
    <t>呪文熟達：創造呪文：達人</t>
  </si>
  <si>
    <t>呪文追加：祖竜術：達人</t>
  </si>
  <si>
    <t>芸能：演劇：習熟</t>
  </si>
  <si>
    <t>職人：彫金：習熟</t>
  </si>
  <si>
    <t>信仰心：戦女神：習熟</t>
  </si>
  <si>
    <t>魔法の短剣（＋１）</t>
    <phoneticPr fontId="2"/>
  </si>
  <si>
    <t>竜の末裔初歩素手攻撃（片手）</t>
    <rPh sb="0" eb="1">
      <t>リュウ</t>
    </rPh>
    <rPh sb="2" eb="4">
      <t>マツエイ</t>
    </rPh>
    <rPh sb="4" eb="6">
      <t>ショホ</t>
    </rPh>
    <phoneticPr fontId="2"/>
  </si>
  <si>
    <t>巨人</t>
    <rPh sb="0" eb="2">
      <t>キョジン</t>
    </rPh>
    <phoneticPr fontId="2"/>
  </si>
  <si>
    <t>聖光</t>
    <rPh sb="0" eb="1">
      <t>セイ</t>
    </rPh>
    <rPh sb="1" eb="2">
      <t>コウ</t>
    </rPh>
    <phoneticPr fontId="2"/>
  </si>
  <si>
    <t>擬竜</t>
    <rPh sb="0" eb="1">
      <t>ギ</t>
    </rPh>
    <rPh sb="1" eb="2">
      <t>リュウ</t>
    </rPh>
    <phoneticPr fontId="2"/>
  </si>
  <si>
    <t>着火</t>
    <rPh sb="0" eb="2">
      <t>チャッカ</t>
    </rPh>
    <phoneticPr fontId="2"/>
  </si>
  <si>
    <t>矢</t>
    <rPh sb="0" eb="1">
      <t>ヤ</t>
    </rPh>
    <phoneticPr fontId="2"/>
  </si>
  <si>
    <t>武道家：5</t>
  </si>
  <si>
    <t>隠密：伝説</t>
  </si>
  <si>
    <t>一般技能_信仰心</t>
  </si>
  <si>
    <t>斬落攻撃：伝説</t>
  </si>
  <si>
    <t>武器：斧：伝説</t>
  </si>
  <si>
    <t>鎧：重鎧：伝説</t>
  </si>
  <si>
    <t>風の遣い手：伝説</t>
  </si>
  <si>
    <t>呪文熟達：創造呪文：伝説</t>
  </si>
  <si>
    <t>呪文追加：祖竜術：伝説</t>
  </si>
  <si>
    <t>芸能：演劇：熟練</t>
  </si>
  <si>
    <t>職人：彫金：熟練</t>
  </si>
  <si>
    <t>信仰心：戦女神：熟練</t>
  </si>
  <si>
    <t>銀の短剣</t>
  </si>
  <si>
    <t>竜の末裔初歩素手攻撃（両手）</t>
    <phoneticPr fontId="2"/>
  </si>
  <si>
    <t>水薬</t>
    <rPh sb="0" eb="1">
      <t>ミズ</t>
    </rPh>
    <rPh sb="1" eb="2">
      <t>クスリ</t>
    </rPh>
    <phoneticPr fontId="2"/>
  </si>
  <si>
    <t>戦槍</t>
    <rPh sb="0" eb="1">
      <t>イクサ</t>
    </rPh>
    <rPh sb="1" eb="2">
      <t>ヤリ</t>
    </rPh>
    <phoneticPr fontId="2"/>
  </si>
  <si>
    <t>賦活（祖霊術）</t>
    <rPh sb="0" eb="2">
      <t>フカツ</t>
    </rPh>
    <rPh sb="3" eb="5">
      <t>ソレイ</t>
    </rPh>
    <rPh sb="5" eb="6">
      <t>ジュツ</t>
    </rPh>
    <phoneticPr fontId="2"/>
  </si>
  <si>
    <t>酩酊</t>
    <rPh sb="0" eb="2">
      <t>メイテイ</t>
    </rPh>
    <phoneticPr fontId="2"/>
  </si>
  <si>
    <t>太矢</t>
    <rPh sb="0" eb="1">
      <t>フト</t>
    </rPh>
    <rPh sb="1" eb="2">
      <t>ヤ</t>
    </rPh>
    <phoneticPr fontId="2"/>
  </si>
  <si>
    <t>武道家：6</t>
  </si>
  <si>
    <t>一般技能_生産業</t>
  </si>
  <si>
    <t>拘束攻撃：初歩</t>
  </si>
  <si>
    <t>武器：槍：初歩</t>
  </si>
  <si>
    <t>土の遣い手：初歩</t>
  </si>
  <si>
    <t>呪文熟達：支配呪文：初歩</t>
  </si>
  <si>
    <t>呪文追加：精霊術：初歩</t>
  </si>
  <si>
    <t>信仰心：祖竜：初歩</t>
  </si>
  <si>
    <t>魔法の短剣（＋２）</t>
    <phoneticPr fontId="2"/>
  </si>
  <si>
    <t>竜の末裔習熟素手攻撃（片手）</t>
    <rPh sb="0" eb="1">
      <t>リュウ</t>
    </rPh>
    <rPh sb="2" eb="4">
      <t>マツエイ</t>
    </rPh>
    <rPh sb="4" eb="6">
      <t>シュウジュク</t>
    </rPh>
    <rPh sb="6" eb="8">
      <t>スデ</t>
    </rPh>
    <phoneticPr fontId="2"/>
  </si>
  <si>
    <t>支配</t>
    <rPh sb="0" eb="2">
      <t>シハイ</t>
    </rPh>
    <phoneticPr fontId="2"/>
  </si>
  <si>
    <t>鼓舞</t>
    <rPh sb="0" eb="2">
      <t>コブ</t>
    </rPh>
    <phoneticPr fontId="2"/>
  </si>
  <si>
    <t>小癒（祖霊術）</t>
    <rPh sb="0" eb="1">
      <t>ショウ</t>
    </rPh>
    <rPh sb="1" eb="2">
      <t>ユ</t>
    </rPh>
    <phoneticPr fontId="2"/>
  </si>
  <si>
    <t>隧道</t>
    <rPh sb="0" eb="2">
      <t>ズイドウ</t>
    </rPh>
    <phoneticPr fontId="2"/>
  </si>
  <si>
    <t>矢筒</t>
    <rPh sb="0" eb="2">
      <t>ヤヅツ</t>
    </rPh>
    <phoneticPr fontId="2"/>
  </si>
  <si>
    <t>武道家：7</t>
  </si>
  <si>
    <t>頑健：習熟</t>
  </si>
  <si>
    <t>拘束攻撃：習熟</t>
  </si>
  <si>
    <t>武器：槍：習熟</t>
  </si>
  <si>
    <t>土の遣い手：習熟</t>
  </si>
  <si>
    <t>呪文熟達：支配呪文：習熟</t>
  </si>
  <si>
    <t>呪文追加：精霊術：習熟</t>
  </si>
  <si>
    <t>信仰心：祖竜：習熟</t>
  </si>
  <si>
    <t>邪紋の短剣</t>
    <rPh sb="0" eb="2">
      <t>ジャモン</t>
    </rPh>
    <rPh sb="3" eb="5">
      <t>タンケン</t>
    </rPh>
    <phoneticPr fontId="2"/>
  </si>
  <si>
    <t>竜の末裔習熟素手攻撃（両手）</t>
    <rPh sb="4" eb="6">
      <t>シュウジュク</t>
    </rPh>
    <phoneticPr fontId="2"/>
  </si>
  <si>
    <t>混乱</t>
    <rPh sb="0" eb="2">
      <t>コンラン</t>
    </rPh>
    <phoneticPr fontId="2"/>
  </si>
  <si>
    <t>聖鎧</t>
    <rPh sb="0" eb="1">
      <t>セイ</t>
    </rPh>
    <rPh sb="1" eb="2">
      <t>ヨロイ</t>
    </rPh>
    <phoneticPr fontId="2"/>
  </si>
  <si>
    <t>胃石</t>
    <rPh sb="0" eb="1">
      <t>イ</t>
    </rPh>
    <rPh sb="1" eb="2">
      <t>セキ</t>
    </rPh>
    <phoneticPr fontId="2"/>
  </si>
  <si>
    <t>放逐</t>
    <rPh sb="0" eb="2">
      <t>ホウチク</t>
    </rPh>
    <phoneticPr fontId="2"/>
  </si>
  <si>
    <t>弾丸</t>
    <rPh sb="0" eb="2">
      <t>ダンガン</t>
    </rPh>
    <phoneticPr fontId="2"/>
  </si>
  <si>
    <t>武道家：8</t>
  </si>
  <si>
    <t>頑健：熟練</t>
  </si>
  <si>
    <t>拘束攻撃：熟練</t>
  </si>
  <si>
    <t>武器：槍：熟練</t>
  </si>
  <si>
    <t>土の遣い手：熟練</t>
  </si>
  <si>
    <t>呪文熟達：支配呪文：熟練</t>
  </si>
  <si>
    <t>呪文追加：精霊術：熟練</t>
  </si>
  <si>
    <t>信仰心：祖竜：熟練</t>
  </si>
  <si>
    <t>竜の末裔熟練素手攻撃（片手）</t>
    <rPh sb="0" eb="1">
      <t>リュウ</t>
    </rPh>
    <rPh sb="2" eb="4">
      <t>マツエイ</t>
    </rPh>
    <rPh sb="4" eb="6">
      <t>ジュクレン</t>
    </rPh>
    <rPh sb="6" eb="8">
      <t>スデ</t>
    </rPh>
    <phoneticPr fontId="2"/>
  </si>
  <si>
    <t>石壁</t>
    <rPh sb="0" eb="1">
      <t>イシ</t>
    </rPh>
    <rPh sb="1" eb="2">
      <t>カベ</t>
    </rPh>
    <phoneticPr fontId="2"/>
  </si>
  <si>
    <t>契約</t>
    <rPh sb="0" eb="2">
      <t>ケイヤク</t>
    </rPh>
    <phoneticPr fontId="2"/>
  </si>
  <si>
    <t>腐食</t>
    <rPh sb="0" eb="2">
      <t>フショク</t>
    </rPh>
    <phoneticPr fontId="2"/>
  </si>
  <si>
    <t>力球</t>
    <rPh sb="0" eb="1">
      <t>チカラ</t>
    </rPh>
    <rPh sb="1" eb="2">
      <t>タマ</t>
    </rPh>
    <phoneticPr fontId="2"/>
  </si>
  <si>
    <t>火の秘薬</t>
    <rPh sb="0" eb="1">
      <t>ヒ</t>
    </rPh>
    <rPh sb="2" eb="4">
      <t>ヒヤク</t>
    </rPh>
    <phoneticPr fontId="2"/>
  </si>
  <si>
    <t>武道家：9</t>
  </si>
  <si>
    <t>頑健：達人</t>
  </si>
  <si>
    <t>曲射：初歩</t>
  </si>
  <si>
    <t>拘束攻撃：達人</t>
  </si>
  <si>
    <t>武器：槍：達人</t>
  </si>
  <si>
    <t>土の遣い手：達人</t>
  </si>
  <si>
    <t>呪文熟達：支配呪文：達人</t>
  </si>
  <si>
    <t>呪文追加：精霊術：達人</t>
  </si>
  <si>
    <t>竜の末裔熟練素手攻撃（両手）</t>
    <rPh sb="4" eb="6">
      <t>ジュクレン</t>
    </rPh>
    <phoneticPr fontId="2"/>
  </si>
  <si>
    <t>剛力</t>
    <rPh sb="0" eb="2">
      <t>ゴウリキ</t>
    </rPh>
    <phoneticPr fontId="2"/>
  </si>
  <si>
    <t>旅人</t>
    <rPh sb="0" eb="2">
      <t>タビビト</t>
    </rPh>
    <phoneticPr fontId="2"/>
  </si>
  <si>
    <t>竜翼</t>
    <rPh sb="0" eb="1">
      <t>リュウ</t>
    </rPh>
    <rPh sb="1" eb="2">
      <t>ツバサ</t>
    </rPh>
    <phoneticPr fontId="2"/>
  </si>
  <si>
    <t>熱波</t>
    <rPh sb="0" eb="2">
      <t>ネッパ</t>
    </rPh>
    <phoneticPr fontId="2"/>
  </si>
  <si>
    <t>弾薬鞄</t>
    <rPh sb="0" eb="2">
      <t>ダンヤク</t>
    </rPh>
    <rPh sb="2" eb="3">
      <t>カバン</t>
    </rPh>
    <phoneticPr fontId="2"/>
  </si>
  <si>
    <t>武道家：10</t>
  </si>
  <si>
    <t>頑健：伝説</t>
  </si>
  <si>
    <t>拘束攻撃：伝説</t>
  </si>
  <si>
    <t>武器：槍：伝説</t>
  </si>
  <si>
    <t>土の遣い手：伝説</t>
  </si>
  <si>
    <t>呪文熟達：支配呪文：伝説</t>
  </si>
  <si>
    <t>呪文追加：精霊術：伝説</t>
  </si>
  <si>
    <t>粘糸</t>
    <rPh sb="0" eb="1">
      <t>ネン</t>
    </rPh>
    <rPh sb="1" eb="2">
      <t>イト</t>
    </rPh>
    <phoneticPr fontId="2"/>
  </si>
  <si>
    <t>逆転</t>
    <rPh sb="0" eb="2">
      <t>ギャクテン</t>
    </rPh>
    <phoneticPr fontId="2"/>
  </si>
  <si>
    <t>火矢（精霊術）</t>
    <rPh sb="0" eb="1">
      <t>ヒ</t>
    </rPh>
    <rPh sb="1" eb="2">
      <t>ヤ</t>
    </rPh>
    <rPh sb="3" eb="5">
      <t>セイレイ</t>
    </rPh>
    <rPh sb="5" eb="6">
      <t>ジュツ</t>
    </rPh>
    <phoneticPr fontId="2"/>
  </si>
  <si>
    <t>投矢革帯</t>
    <rPh sb="0" eb="1">
      <t>ナ</t>
    </rPh>
    <rPh sb="1" eb="2">
      <t>ヤ</t>
    </rPh>
    <rPh sb="2" eb="3">
      <t>カワ</t>
    </rPh>
    <rPh sb="3" eb="4">
      <t>オビ</t>
    </rPh>
    <phoneticPr fontId="2"/>
  </si>
  <si>
    <t>野伏：1</t>
  </si>
  <si>
    <t>刺突攻撃：初歩</t>
  </si>
  <si>
    <t>武器：戦槌：初歩</t>
  </si>
  <si>
    <t>生命の遣い手：初歩</t>
  </si>
  <si>
    <t>呪文熟達：治癒呪文：初歩</t>
  </si>
  <si>
    <t>惰眠</t>
    <rPh sb="0" eb="2">
      <t>ダミン</t>
    </rPh>
    <phoneticPr fontId="2"/>
  </si>
  <si>
    <t>審問</t>
    <rPh sb="0" eb="2">
      <t>シンモン</t>
    </rPh>
    <phoneticPr fontId="2"/>
  </si>
  <si>
    <t>恐怖</t>
    <rPh sb="0" eb="2">
      <t>キョウフ</t>
    </rPh>
    <phoneticPr fontId="2"/>
  </si>
  <si>
    <t>野伏：2</t>
  </si>
  <si>
    <t>観察：習熟</t>
  </si>
  <si>
    <t>護衛：初歩</t>
  </si>
  <si>
    <t>曲射：習熟</t>
  </si>
  <si>
    <t>刺突攻撃：習熟</t>
  </si>
  <si>
    <t>武器：戦槌：習熟</t>
  </si>
  <si>
    <t>生命の遣い手：習熟</t>
  </si>
  <si>
    <t>呪文熟達：治癒呪文：習熟</t>
  </si>
  <si>
    <t>停滞</t>
    <rPh sb="0" eb="2">
      <t>テイタイ</t>
    </rPh>
    <phoneticPr fontId="2"/>
  </si>
  <si>
    <t>蝋燭</t>
    <rPh sb="0" eb="2">
      <t>ロウソク</t>
    </rPh>
    <phoneticPr fontId="2"/>
  </si>
  <si>
    <t>野伏：3</t>
  </si>
  <si>
    <t>観察：熟練</t>
  </si>
  <si>
    <t>死角移動：初歩</t>
  </si>
  <si>
    <t>曲射：熟練</t>
  </si>
  <si>
    <t>刺突攻撃：熟練</t>
  </si>
  <si>
    <t>武器：戦槌：熟練</t>
  </si>
  <si>
    <t>生命の遣い手：熟練</t>
  </si>
  <si>
    <t>呪文熟達：治癒呪文：熟練</t>
  </si>
  <si>
    <t>落下</t>
    <rPh sb="0" eb="2">
      <t>ラッカ</t>
    </rPh>
    <phoneticPr fontId="2"/>
  </si>
  <si>
    <t>聖断</t>
    <rPh sb="0" eb="2">
      <t>セイダン</t>
    </rPh>
    <phoneticPr fontId="2"/>
  </si>
  <si>
    <t>吹雪</t>
    <rPh sb="0" eb="2">
      <t>フブキ</t>
    </rPh>
    <phoneticPr fontId="2"/>
  </si>
  <si>
    <t>角灯</t>
    <rPh sb="0" eb="1">
      <t>カド</t>
    </rPh>
    <rPh sb="1" eb="2">
      <t>アカリ</t>
    </rPh>
    <phoneticPr fontId="2"/>
  </si>
  <si>
    <t>野伏：4</t>
  </si>
  <si>
    <t>観察：達人</t>
  </si>
  <si>
    <t>曲射：達人</t>
  </si>
  <si>
    <t>刺突攻撃：達人</t>
  </si>
  <si>
    <t>武器：戦槌：達人</t>
  </si>
  <si>
    <t>生命の遣い手：達人</t>
  </si>
  <si>
    <t>呪文熟達：治癒呪文：達人</t>
  </si>
  <si>
    <t>分影</t>
    <rPh sb="0" eb="1">
      <t>ブン</t>
    </rPh>
    <rPh sb="1" eb="2">
      <t>エイ</t>
    </rPh>
    <phoneticPr fontId="2"/>
  </si>
  <si>
    <t>天啓</t>
    <rPh sb="0" eb="2">
      <t>テンケイ</t>
    </rPh>
    <phoneticPr fontId="2"/>
  </si>
  <si>
    <t>呼気</t>
    <rPh sb="0" eb="2">
      <t>コキ</t>
    </rPh>
    <phoneticPr fontId="2"/>
  </si>
  <si>
    <t>ガラス付き角灯</t>
    <rPh sb="3" eb="4">
      <t>ツ</t>
    </rPh>
    <rPh sb="5" eb="6">
      <t>カド</t>
    </rPh>
    <rPh sb="6" eb="7">
      <t>アカリ</t>
    </rPh>
    <phoneticPr fontId="2"/>
  </si>
  <si>
    <t>野伏：5</t>
  </si>
  <si>
    <t>観察：伝説</t>
  </si>
  <si>
    <t>狙撃：初歩</t>
  </si>
  <si>
    <t>曲射：伝説</t>
  </si>
  <si>
    <t>刺突攻撃：伝説</t>
  </si>
  <si>
    <t>武器：戦槌：伝説</t>
  </si>
  <si>
    <t>生命の遣い手：伝説</t>
  </si>
  <si>
    <t>呪文熟達：治癒呪文：伝説</t>
  </si>
  <si>
    <t>察知</t>
    <rPh sb="0" eb="2">
      <t>サッチ</t>
    </rPh>
    <phoneticPr fontId="2"/>
  </si>
  <si>
    <t>真灯</t>
    <rPh sb="0" eb="1">
      <t>シン</t>
    </rPh>
    <rPh sb="1" eb="2">
      <t>アカ</t>
    </rPh>
    <phoneticPr fontId="2"/>
  </si>
  <si>
    <t>捕縛</t>
    <rPh sb="0" eb="2">
      <t>ホバク</t>
    </rPh>
    <phoneticPr fontId="2"/>
  </si>
  <si>
    <t>野伏：6</t>
  </si>
  <si>
    <t>速射：初歩</t>
  </si>
  <si>
    <t>武器：棍杖：初歩</t>
  </si>
  <si>
    <t>怪物知識：初歩</t>
  </si>
  <si>
    <t>呪文熟達：汎用呪文：初歩</t>
  </si>
  <si>
    <t>舞踏</t>
    <rPh sb="0" eb="2">
      <t>ブトウ</t>
    </rPh>
    <phoneticPr fontId="2"/>
  </si>
  <si>
    <t>読解</t>
    <rPh sb="0" eb="2">
      <t>ドッカイ</t>
    </rPh>
    <phoneticPr fontId="2"/>
  </si>
  <si>
    <t>野伏：7</t>
  </si>
  <si>
    <t>機先：習熟</t>
  </si>
  <si>
    <t>体術：初歩</t>
  </si>
  <si>
    <t>狙撃：習熟</t>
  </si>
  <si>
    <t>武器：棍杖：習熟</t>
  </si>
  <si>
    <t>怪物知識：習熟</t>
  </si>
  <si>
    <t>呪文熟達：汎用呪文：習熟</t>
  </si>
  <si>
    <t>嫌気</t>
    <rPh sb="0" eb="1">
      <t>キラ</t>
    </rPh>
    <phoneticPr fontId="2"/>
  </si>
  <si>
    <t>聖餐</t>
    <rPh sb="0" eb="2">
      <t>セイサン</t>
    </rPh>
    <phoneticPr fontId="2"/>
  </si>
  <si>
    <t>火口箱</t>
    <rPh sb="0" eb="1">
      <t>ヒ</t>
    </rPh>
    <rPh sb="1" eb="2">
      <t>クチ</t>
    </rPh>
    <rPh sb="2" eb="3">
      <t>ハコ</t>
    </rPh>
    <phoneticPr fontId="2"/>
  </si>
  <si>
    <t>野伏：8</t>
  </si>
  <si>
    <t>機先：熟練</t>
  </si>
  <si>
    <t>盾：初歩</t>
  </si>
  <si>
    <t>狙撃：熟練</t>
  </si>
  <si>
    <t>武器：棍杖：熟練</t>
  </si>
  <si>
    <t>怪物知識：熟練</t>
  </si>
  <si>
    <t>呪文熟達：汎用呪文：熟練</t>
  </si>
  <si>
    <t>工作：初歩</t>
  </si>
  <si>
    <t>矢避</t>
    <rPh sb="0" eb="1">
      <t>ヤ</t>
    </rPh>
    <rPh sb="1" eb="2">
      <t>ヨ</t>
    </rPh>
    <phoneticPr fontId="2"/>
  </si>
  <si>
    <t>不動</t>
    <rPh sb="0" eb="2">
      <t>フドウ</t>
    </rPh>
    <phoneticPr fontId="2"/>
  </si>
  <si>
    <t>小袋セット</t>
    <rPh sb="0" eb="2">
      <t>コブクロ</t>
    </rPh>
    <phoneticPr fontId="2"/>
  </si>
  <si>
    <t>40歳以上</t>
    <rPh sb="2" eb="5">
      <t>サイイジョウ</t>
    </rPh>
    <phoneticPr fontId="2"/>
  </si>
  <si>
    <t>野伏：9</t>
  </si>
  <si>
    <t>機先：達人</t>
  </si>
  <si>
    <t>挑発：初歩</t>
  </si>
  <si>
    <t>狙撃：達人</t>
  </si>
  <si>
    <t>武器：棍杖：達人</t>
  </si>
  <si>
    <t>怪物知識：達人</t>
  </si>
  <si>
    <t>呪文熟達：汎用呪文：達人</t>
  </si>
  <si>
    <t>工作：習熟</t>
  </si>
  <si>
    <t>透過</t>
    <rPh sb="0" eb="2">
      <t>トウカ</t>
    </rPh>
    <phoneticPr fontId="2"/>
  </si>
  <si>
    <t>和睦</t>
    <rPh sb="0" eb="2">
      <t>ワボク</t>
    </rPh>
    <phoneticPr fontId="2"/>
  </si>
  <si>
    <t>ずた袋</t>
    <rPh sb="2" eb="3">
      <t>ブクロ</t>
    </rPh>
    <phoneticPr fontId="2"/>
  </si>
  <si>
    <t>50歳以上</t>
    <rPh sb="2" eb="5">
      <t>サイイジョウ</t>
    </rPh>
    <phoneticPr fontId="2"/>
  </si>
  <si>
    <t>野伏：10</t>
  </si>
  <si>
    <t>機先：伝説</t>
  </si>
  <si>
    <t>鉄の拳：初歩</t>
  </si>
  <si>
    <t>狙撃：伝説</t>
  </si>
  <si>
    <t>武器：棍杖：伝説</t>
  </si>
  <si>
    <t>怪物知識：伝説</t>
  </si>
  <si>
    <t>呪文熟達：汎用呪文：伝説</t>
  </si>
  <si>
    <t>工作：熟練</t>
  </si>
  <si>
    <t>恐慌</t>
    <rPh sb="0" eb="2">
      <t>キョウコウ</t>
    </rPh>
    <phoneticPr fontId="2"/>
  </si>
  <si>
    <t>60歳以上</t>
    <rPh sb="2" eb="5">
      <t>サイイジョウ</t>
    </rPh>
    <phoneticPr fontId="2"/>
  </si>
  <si>
    <t>斥候：1</t>
  </si>
  <si>
    <t>鉄壁：初歩</t>
  </si>
  <si>
    <t>武器：格闘武器：初歩</t>
  </si>
  <si>
    <t>獣心</t>
    <rPh sb="0" eb="1">
      <t>ジュウ</t>
    </rPh>
    <rPh sb="1" eb="2">
      <t>ココロ</t>
    </rPh>
    <phoneticPr fontId="2"/>
  </si>
  <si>
    <t>70歳以上</t>
    <rPh sb="2" eb="5">
      <t>サイイジョウ</t>
    </rPh>
    <phoneticPr fontId="2"/>
  </si>
  <si>
    <t>斥候：2</t>
  </si>
  <si>
    <t>幸運：習熟</t>
  </si>
  <si>
    <t>速射：習熟</t>
  </si>
  <si>
    <t>武器：格闘武器：習熟</t>
  </si>
  <si>
    <t>幻影</t>
    <rPh sb="0" eb="2">
      <t>ゲンエイ</t>
    </rPh>
    <phoneticPr fontId="2"/>
  </si>
  <si>
    <t>背負い袋</t>
    <rPh sb="0" eb="2">
      <t>セオ</t>
    </rPh>
    <rPh sb="3" eb="4">
      <t>ブクロ</t>
    </rPh>
    <phoneticPr fontId="2"/>
  </si>
  <si>
    <t>80歳以上</t>
    <rPh sb="2" eb="5">
      <t>サイイジョウ</t>
    </rPh>
    <phoneticPr fontId="2"/>
  </si>
  <si>
    <t>斥候：3</t>
  </si>
  <si>
    <t>幸運：熟練</t>
  </si>
  <si>
    <t>二刀流：初歩</t>
  </si>
  <si>
    <t>速射：熟練</t>
  </si>
  <si>
    <t>武器：格闘武器：熟練</t>
  </si>
  <si>
    <t>巨大</t>
    <rPh sb="0" eb="2">
      <t>キョダイ</t>
    </rPh>
    <phoneticPr fontId="2"/>
  </si>
  <si>
    <t>毛布</t>
    <rPh sb="0" eb="2">
      <t>モウフ</t>
    </rPh>
    <phoneticPr fontId="2"/>
  </si>
  <si>
    <t>90歳以上</t>
    <rPh sb="2" eb="5">
      <t>サイイジョウ</t>
    </rPh>
    <phoneticPr fontId="2"/>
  </si>
  <si>
    <t>斥候：4</t>
  </si>
  <si>
    <t>幸運：達人</t>
  </si>
  <si>
    <t>発勁：初歩</t>
  </si>
  <si>
    <t>速射：達人</t>
  </si>
  <si>
    <t>武器：格闘武器：達人</t>
  </si>
  <si>
    <t>火球</t>
    <rPh sb="0" eb="2">
      <t>カキュウ</t>
    </rPh>
    <phoneticPr fontId="2"/>
  </si>
  <si>
    <t>100歳以上</t>
    <rPh sb="3" eb="6">
      <t>サイイジョウ</t>
    </rPh>
    <phoneticPr fontId="2"/>
  </si>
  <si>
    <t>斥候：5</t>
  </si>
  <si>
    <t>幸運：伝説</t>
  </si>
  <si>
    <t>速射：伝説</t>
  </si>
  <si>
    <t>武器：格闘武器：伝説</t>
  </si>
  <si>
    <t>火矢</t>
    <rPh sb="0" eb="1">
      <t>ヒ</t>
    </rPh>
    <rPh sb="1" eb="2">
      <t>ヤ</t>
    </rPh>
    <phoneticPr fontId="2"/>
  </si>
  <si>
    <t>寝袋</t>
    <rPh sb="0" eb="1">
      <t>ネ</t>
    </rPh>
    <rPh sb="1" eb="2">
      <t>ブクロ</t>
    </rPh>
    <phoneticPr fontId="2"/>
  </si>
  <si>
    <t>200歳以上</t>
    <rPh sb="3" eb="6">
      <t>サイイジョウ</t>
    </rPh>
    <phoneticPr fontId="2"/>
  </si>
  <si>
    <t>斥候：6</t>
  </si>
  <si>
    <t>武器：投擲武器：初歩</t>
  </si>
  <si>
    <t>遠見</t>
    <rPh sb="0" eb="2">
      <t>トオミ</t>
    </rPh>
    <phoneticPr fontId="2"/>
  </si>
  <si>
    <t>円匙</t>
    <rPh sb="0" eb="1">
      <t>エン</t>
    </rPh>
    <rPh sb="1" eb="2">
      <t>サジ</t>
    </rPh>
    <phoneticPr fontId="2"/>
  </si>
  <si>
    <t>300歳以上</t>
    <rPh sb="3" eb="6">
      <t>サイイジョウ</t>
    </rPh>
    <phoneticPr fontId="2"/>
  </si>
  <si>
    <t>斥候：7</t>
  </si>
  <si>
    <t>呪文抵抗：習熟</t>
  </si>
  <si>
    <t>護衛：習熟</t>
  </si>
  <si>
    <t>武器：投擲武器：習熟</t>
  </si>
  <si>
    <t>力場</t>
    <rPh sb="0" eb="2">
      <t>リキバ</t>
    </rPh>
    <phoneticPr fontId="2"/>
  </si>
  <si>
    <t>400歳以上</t>
    <rPh sb="3" eb="6">
      <t>サイイジョウ</t>
    </rPh>
    <phoneticPr fontId="2"/>
  </si>
  <si>
    <t>斥候：8</t>
  </si>
  <si>
    <t>呪文抵抗：熟練</t>
  </si>
  <si>
    <t>護衛：熟練</t>
  </si>
  <si>
    <t>武器：投擲武器：熟練</t>
  </si>
  <si>
    <t>突風</t>
    <rPh sb="0" eb="2">
      <t>トップウ</t>
    </rPh>
    <phoneticPr fontId="2"/>
  </si>
  <si>
    <t>小槌</t>
    <rPh sb="0" eb="2">
      <t>コヅチ</t>
    </rPh>
    <phoneticPr fontId="2"/>
  </si>
  <si>
    <t>500歳以上</t>
    <rPh sb="3" eb="6">
      <t>サイイジョウ</t>
    </rPh>
    <phoneticPr fontId="2"/>
  </si>
  <si>
    <t>斥候：9</t>
  </si>
  <si>
    <t>呪文抵抗：達人</t>
  </si>
  <si>
    <t>護衛：達人</t>
  </si>
  <si>
    <t>武器：投擲武器：達人</t>
  </si>
  <si>
    <t>600歳以上</t>
    <rPh sb="3" eb="6">
      <t>サイイジョウ</t>
    </rPh>
    <phoneticPr fontId="2"/>
  </si>
  <si>
    <t>斥候：10</t>
  </si>
  <si>
    <t>呪文抵抗：伝説</t>
  </si>
  <si>
    <t>護衛：伝説</t>
  </si>
  <si>
    <t>武器：投擲武器：伝説</t>
  </si>
  <si>
    <t>交渉：言いくるめ：初歩</t>
  </si>
  <si>
    <t>手鏡</t>
    <rPh sb="0" eb="2">
      <t>テカガミ</t>
    </rPh>
    <phoneticPr fontId="2"/>
  </si>
  <si>
    <t>700歳以上</t>
    <rPh sb="3" eb="6">
      <t>サイイジョウ</t>
    </rPh>
    <phoneticPr fontId="2"/>
  </si>
  <si>
    <t>魔術師：1</t>
  </si>
  <si>
    <t>武器：弩弓：初歩</t>
  </si>
  <si>
    <t>交渉：言いくるめ：習熟</t>
  </si>
  <si>
    <t>浮遊</t>
    <rPh sb="0" eb="2">
      <t>フユウ</t>
    </rPh>
    <phoneticPr fontId="2"/>
  </si>
  <si>
    <t>筆記道具</t>
    <rPh sb="0" eb="2">
      <t>ヒッキ</t>
    </rPh>
    <rPh sb="2" eb="4">
      <t>ドウグ</t>
    </rPh>
    <phoneticPr fontId="2"/>
  </si>
  <si>
    <t>800歳以上</t>
    <rPh sb="3" eb="6">
      <t>サイイジョウ</t>
    </rPh>
    <phoneticPr fontId="2"/>
  </si>
  <si>
    <t>魔術師：2</t>
  </si>
  <si>
    <t>戦術移動：習熟</t>
  </si>
  <si>
    <t>死角移動：習熟</t>
  </si>
  <si>
    <t>武器：弩弓：習熟</t>
  </si>
  <si>
    <t>交渉：言いくるめ：熟練</t>
  </si>
  <si>
    <t>羊皮紙</t>
    <rPh sb="0" eb="3">
      <t>ヨウヒシ</t>
    </rPh>
    <phoneticPr fontId="2"/>
  </si>
  <si>
    <t>900歳以上</t>
    <rPh sb="3" eb="6">
      <t>サイイジョウ</t>
    </rPh>
    <phoneticPr fontId="2"/>
  </si>
  <si>
    <t>魔術師：3</t>
  </si>
  <si>
    <t>戦術移動：熟練</t>
  </si>
  <si>
    <t>死角移動：熟練</t>
  </si>
  <si>
    <t>武器：弩弓：熟練</t>
  </si>
  <si>
    <t>読心</t>
    <rPh sb="0" eb="1">
      <t>ドク</t>
    </rPh>
    <rPh sb="1" eb="2">
      <t>シン</t>
    </rPh>
    <phoneticPr fontId="2"/>
  </si>
  <si>
    <t>1000歳以上</t>
    <rPh sb="4" eb="7">
      <t>サイイジョウ</t>
    </rPh>
    <phoneticPr fontId="2"/>
  </si>
  <si>
    <t>戦術移動：達人</t>
  </si>
  <si>
    <t>見切り：初歩</t>
  </si>
  <si>
    <t>死角移動：達人</t>
  </si>
  <si>
    <t>武器：弩弓：達人</t>
  </si>
  <si>
    <t>力矢</t>
    <rPh sb="0" eb="1">
      <t>チカラ</t>
    </rPh>
    <rPh sb="1" eb="2">
      <t>ヤ</t>
    </rPh>
    <phoneticPr fontId="2"/>
  </si>
  <si>
    <t>2000歳以上</t>
    <rPh sb="4" eb="7">
      <t>サイイジョウ</t>
    </rPh>
    <phoneticPr fontId="2"/>
  </si>
  <si>
    <t>魔術師：5</t>
  </si>
  <si>
    <t>戦術移動：伝説</t>
  </si>
  <si>
    <t>死角移動：伝説</t>
  </si>
  <si>
    <t>武器：弩弓：伝説</t>
  </si>
  <si>
    <t>魔霧</t>
    <rPh sb="0" eb="1">
      <t>マ</t>
    </rPh>
    <rPh sb="1" eb="2">
      <t>キリ</t>
    </rPh>
    <phoneticPr fontId="2"/>
  </si>
  <si>
    <t>3000歳以上</t>
    <rPh sb="4" eb="7">
      <t>サイイジョウ</t>
    </rPh>
    <phoneticPr fontId="2"/>
  </si>
  <si>
    <t>魔術師：6</t>
  </si>
  <si>
    <t>催涙弾</t>
    <rPh sb="0" eb="3">
      <t>サイルイダン</t>
    </rPh>
    <phoneticPr fontId="2"/>
  </si>
  <si>
    <t>4000歳以上</t>
    <rPh sb="4" eb="7">
      <t>サイイジョウ</t>
    </rPh>
    <phoneticPr fontId="2"/>
  </si>
  <si>
    <t>魔術師：7</t>
  </si>
  <si>
    <t>第六感：習熟</t>
  </si>
  <si>
    <t>光明</t>
    <rPh sb="0" eb="2">
      <t>コウミョウ</t>
    </rPh>
    <phoneticPr fontId="2"/>
  </si>
  <si>
    <t>煙玉</t>
    <rPh sb="0" eb="1">
      <t>ケムリ</t>
    </rPh>
    <rPh sb="1" eb="2">
      <t>ダマ</t>
    </rPh>
    <phoneticPr fontId="2"/>
  </si>
  <si>
    <t>魔術師：8</t>
  </si>
  <si>
    <t>第六感：熟練</t>
  </si>
  <si>
    <t>稲妻</t>
    <rPh sb="0" eb="2">
      <t>イナヅマ</t>
    </rPh>
    <phoneticPr fontId="2"/>
  </si>
  <si>
    <t>魔術師：9</t>
  </si>
  <si>
    <t>第六感：達人</t>
  </si>
  <si>
    <t>施錠</t>
    <rPh sb="0" eb="2">
      <t>セジョウ</t>
    </rPh>
    <phoneticPr fontId="2"/>
  </si>
  <si>
    <t>臭い消し</t>
    <rPh sb="0" eb="1">
      <t>ニオ</t>
    </rPh>
    <rPh sb="2" eb="3">
      <t>ケ</t>
    </rPh>
    <phoneticPr fontId="2"/>
  </si>
  <si>
    <t>魔術師：10</t>
  </si>
  <si>
    <t>第六感：伝説</t>
  </si>
  <si>
    <t>普通の衣類</t>
    <rPh sb="0" eb="2">
      <t>フツウ</t>
    </rPh>
    <rPh sb="3" eb="5">
      <t>イルイ</t>
    </rPh>
    <phoneticPr fontId="2"/>
  </si>
  <si>
    <t>神官：1</t>
  </si>
  <si>
    <t>神官：2</t>
  </si>
  <si>
    <t>治癒適正：習熟</t>
  </si>
  <si>
    <t>鋲付きの鎧下</t>
    <rPh sb="0" eb="1">
      <t>ビョウ</t>
    </rPh>
    <rPh sb="1" eb="2">
      <t>ツ</t>
    </rPh>
    <rPh sb="4" eb="5">
      <t>ヨロイ</t>
    </rPh>
    <rPh sb="5" eb="6">
      <t>シタ</t>
    </rPh>
    <phoneticPr fontId="2"/>
  </si>
  <si>
    <t>神官：3</t>
  </si>
  <si>
    <t>治癒適正：熟練</t>
  </si>
  <si>
    <t>防寒具</t>
    <rPh sb="0" eb="2">
      <t>ボウカン</t>
    </rPh>
    <rPh sb="2" eb="3">
      <t>グ</t>
    </rPh>
    <phoneticPr fontId="2"/>
  </si>
  <si>
    <t>神官：4</t>
  </si>
  <si>
    <t>治癒適正：達人</t>
  </si>
  <si>
    <t>礼服／ドレス</t>
    <rPh sb="0" eb="2">
      <t>レイフク</t>
    </rPh>
    <phoneticPr fontId="2"/>
  </si>
  <si>
    <t>神官：5</t>
  </si>
  <si>
    <t>治癒適正：伝説</t>
  </si>
  <si>
    <t>神官：6</t>
  </si>
  <si>
    <t>10フィートの棒</t>
    <rPh sb="7" eb="8">
      <t>ボウ</t>
    </rPh>
    <phoneticPr fontId="2"/>
  </si>
  <si>
    <t>神官：7</t>
  </si>
  <si>
    <t>手仕事：習熟</t>
  </si>
  <si>
    <t>軍馬</t>
    <rPh sb="0" eb="2">
      <t>グンバ</t>
    </rPh>
    <phoneticPr fontId="2"/>
  </si>
  <si>
    <t>神官：8</t>
  </si>
  <si>
    <t>手仕事：熟練</t>
  </si>
  <si>
    <t>神学：初歩</t>
  </si>
  <si>
    <t>乗用馬</t>
    <rPh sb="0" eb="2">
      <t>ジョウヨウ</t>
    </rPh>
    <rPh sb="2" eb="3">
      <t>バ</t>
    </rPh>
    <phoneticPr fontId="2"/>
  </si>
  <si>
    <t>神官：9</t>
  </si>
  <si>
    <t>手仕事：達人</t>
  </si>
  <si>
    <t>神学：習熟</t>
  </si>
  <si>
    <t>神官：10</t>
  </si>
  <si>
    <t>手仕事：伝説</t>
  </si>
  <si>
    <t>神学：熟練</t>
  </si>
  <si>
    <t>馬車</t>
    <rPh sb="0" eb="2">
      <t>バシャ</t>
    </rPh>
    <phoneticPr fontId="2"/>
  </si>
  <si>
    <t>竜司祭：1</t>
  </si>
  <si>
    <t>竜司祭：2</t>
  </si>
  <si>
    <t>忍耐：習熟</t>
  </si>
  <si>
    <t>体術：習熟</t>
  </si>
  <si>
    <t>竜司祭：3</t>
  </si>
  <si>
    <t>忍耐：熟練</t>
  </si>
  <si>
    <t>体術：熟練</t>
  </si>
  <si>
    <t>干した果物</t>
    <rPh sb="0" eb="1">
      <t>ホ</t>
    </rPh>
    <rPh sb="3" eb="5">
      <t>クダモノ</t>
    </rPh>
    <phoneticPr fontId="2"/>
  </si>
  <si>
    <t>竜司祭：4</t>
  </si>
  <si>
    <t>忍耐：達人</t>
  </si>
  <si>
    <t>体術：達人</t>
  </si>
  <si>
    <t>塩漬け肉</t>
    <rPh sb="0" eb="1">
      <t>シオ</t>
    </rPh>
    <rPh sb="1" eb="2">
      <t>ヅ</t>
    </rPh>
    <rPh sb="3" eb="4">
      <t>ニク</t>
    </rPh>
    <phoneticPr fontId="2"/>
  </si>
  <si>
    <t>竜司祭：5</t>
  </si>
  <si>
    <t>忍耐：伝説</t>
  </si>
  <si>
    <t>体術：伝説</t>
  </si>
  <si>
    <t>竜司祭：6</t>
  </si>
  <si>
    <t>治癒の水薬</t>
    <rPh sb="0" eb="2">
      <t>チユ</t>
    </rPh>
    <rPh sb="3" eb="5">
      <t>ミズグスリ</t>
    </rPh>
    <phoneticPr fontId="2"/>
  </si>
  <si>
    <t>竜司祭：7</t>
  </si>
  <si>
    <t>免疫強化：習熟</t>
  </si>
  <si>
    <t>盾：習熟</t>
  </si>
  <si>
    <t>強壮の水薬</t>
    <rPh sb="0" eb="2">
      <t>キョウソウ</t>
    </rPh>
    <rPh sb="3" eb="4">
      <t>ミズ</t>
    </rPh>
    <rPh sb="4" eb="5">
      <t>クスリ</t>
    </rPh>
    <phoneticPr fontId="2"/>
  </si>
  <si>
    <t>竜司祭：8</t>
  </si>
  <si>
    <t>免疫強化：熟練</t>
  </si>
  <si>
    <t>盾：熟練</t>
  </si>
  <si>
    <t>解毒薬</t>
    <rPh sb="0" eb="3">
      <t>ゲドクヤク</t>
    </rPh>
    <phoneticPr fontId="2"/>
  </si>
  <si>
    <t>竜司祭：9</t>
  </si>
  <si>
    <t>免疫強化：達人</t>
  </si>
  <si>
    <t>盾：達人</t>
  </si>
  <si>
    <t>竜司祭：10</t>
  </si>
  <si>
    <t>免疫強化：伝説</t>
  </si>
  <si>
    <t>盾：伝説</t>
  </si>
  <si>
    <t>鎮痛剤</t>
    <rPh sb="0" eb="3">
      <t>チンツウザイ</t>
    </rPh>
    <phoneticPr fontId="2"/>
  </si>
  <si>
    <t>精霊使い：1</t>
  </si>
  <si>
    <t>気付け薬</t>
    <rPh sb="0" eb="2">
      <t>キツ</t>
    </rPh>
    <rPh sb="3" eb="4">
      <t>クスリ</t>
    </rPh>
    <phoneticPr fontId="2"/>
  </si>
  <si>
    <t>精霊使い：2</t>
  </si>
  <si>
    <t>挑発：習熟</t>
  </si>
  <si>
    <t>トリカブトの毒</t>
    <rPh sb="6" eb="7">
      <t>ドク</t>
    </rPh>
    <phoneticPr fontId="2"/>
  </si>
  <si>
    <t>精霊使い：3</t>
  </si>
  <si>
    <t>挑発：熟練</t>
  </si>
  <si>
    <t>燃える水</t>
    <rPh sb="0" eb="1">
      <t>モ</t>
    </rPh>
    <rPh sb="3" eb="4">
      <t>ミズ</t>
    </rPh>
    <phoneticPr fontId="2"/>
  </si>
  <si>
    <t>精霊使い：4</t>
  </si>
  <si>
    <t>挑発：達人</t>
  </si>
  <si>
    <t>物探しの蝋燭</t>
    <rPh sb="0" eb="1">
      <t>モノ</t>
    </rPh>
    <rPh sb="1" eb="2">
      <t>サガ</t>
    </rPh>
    <rPh sb="4" eb="6">
      <t>ロウソク</t>
    </rPh>
    <phoneticPr fontId="2"/>
  </si>
  <si>
    <t>精霊使い：5</t>
  </si>
  <si>
    <t>挑発：伝説</t>
  </si>
  <si>
    <t>魔法の巻物</t>
    <rPh sb="0" eb="2">
      <t>マホウ</t>
    </rPh>
    <rPh sb="3" eb="5">
      <t>マキモノ</t>
    </rPh>
    <phoneticPr fontId="2"/>
  </si>
  <si>
    <t>精霊使い：6</t>
  </si>
  <si>
    <t>精霊使い：7</t>
  </si>
  <si>
    <t>鉄の拳：習熟</t>
  </si>
  <si>
    <t>精霊使い：8</t>
  </si>
  <si>
    <t>鉄の拳：熟練</t>
  </si>
  <si>
    <t>精霊使い：9</t>
  </si>
  <si>
    <t>鉄の拳：達人</t>
  </si>
  <si>
    <t>精霊使い：10</t>
  </si>
  <si>
    <t>鉄の拳：伝説</t>
  </si>
  <si>
    <t>鉄壁：習熟</t>
  </si>
  <si>
    <t>鉄壁：熟練</t>
  </si>
  <si>
    <t>鉄壁：達人</t>
  </si>
  <si>
    <t>鉄壁：伝説</t>
  </si>
  <si>
    <t>薙ぎ払い：習熟</t>
  </si>
  <si>
    <t>魔法の才：習熟</t>
  </si>
  <si>
    <t>薙ぎ払い：熟練</t>
  </si>
  <si>
    <t>魔法の才：熟練</t>
  </si>
  <si>
    <t>薙ぎ払い：達人</t>
  </si>
  <si>
    <t>魔法の才：達人</t>
  </si>
  <si>
    <t>薙ぎ払い：伝説</t>
  </si>
  <si>
    <t>魔法の才：伝説</t>
  </si>
  <si>
    <t>生存術：初歩</t>
  </si>
  <si>
    <t>二刀流：習熟</t>
  </si>
  <si>
    <t>生存術：習熟</t>
  </si>
  <si>
    <t>二刀流：熟練</t>
  </si>
  <si>
    <t>生存術：熟練</t>
  </si>
  <si>
    <t>二刀流：達人</t>
  </si>
  <si>
    <t>精霊の愛し子：初歩</t>
  </si>
  <si>
    <t>二刀流：伝説</t>
  </si>
  <si>
    <t>精霊の愛し子：習熟</t>
  </si>
  <si>
    <t>精霊の愛し子：熟練</t>
  </si>
  <si>
    <t>発勁：習熟</t>
  </si>
  <si>
    <t>先入観なし：初歩</t>
  </si>
  <si>
    <t>発勁：熟練</t>
  </si>
  <si>
    <t>先入観なし：習熟</t>
  </si>
  <si>
    <t>長距離移動：初歩</t>
  </si>
  <si>
    <t>発勁：達人</t>
  </si>
  <si>
    <t>先入観なし：熟練</t>
  </si>
  <si>
    <t>調理：初歩</t>
  </si>
  <si>
    <t>発勁：伝説</t>
  </si>
  <si>
    <t>長距離移動：習熟</t>
  </si>
  <si>
    <t>統率：初歩</t>
  </si>
  <si>
    <t>長距離移動：熟練</t>
  </si>
  <si>
    <t>博識：初歩</t>
  </si>
  <si>
    <t>犯罪知識：初歩</t>
  </si>
  <si>
    <t>調理：習熟</t>
  </si>
  <si>
    <t>文献調査：初歩</t>
  </si>
  <si>
    <t>調理：熟練</t>
  </si>
  <si>
    <t>竜の末裔：初歩</t>
  </si>
  <si>
    <t>沈着冷静：習熟</t>
  </si>
  <si>
    <t>礼儀作法：初歩</t>
  </si>
  <si>
    <t>沈着冷静：熟練</t>
  </si>
  <si>
    <t>統率：習熟</t>
  </si>
  <si>
    <t>統率：熟練</t>
  </si>
  <si>
    <t>博識：習熟</t>
  </si>
  <si>
    <t>博識：熟練</t>
  </si>
  <si>
    <t>犯罪知識：習熟</t>
  </si>
  <si>
    <t>犯罪知識：熟練</t>
  </si>
  <si>
    <t>文献調査：習熟</t>
  </si>
  <si>
    <t>文献調査：熟練</t>
  </si>
  <si>
    <t>瞑想：習熟</t>
  </si>
  <si>
    <t>瞑想：熟練</t>
  </si>
  <si>
    <t>竜の末裔：習熟</t>
  </si>
  <si>
    <t>竜の末裔：熟練</t>
  </si>
  <si>
    <t>礼儀作法：習熟</t>
  </si>
  <si>
    <t>礼儀作法：熟練</t>
  </si>
  <si>
    <t>労働：習熟</t>
  </si>
  <si>
    <t>労働：熟練</t>
  </si>
  <si>
    <t>見切り：習熟</t>
  </si>
  <si>
    <t>見切り：熟練</t>
  </si>
  <si>
    <t>見切り：達人</t>
  </si>
  <si>
    <t>見切り：伝説</t>
  </si>
  <si>
    <t>状態タイプ</t>
  </si>
  <si>
    <t>引数</t>
    <rPh sb="0" eb="2">
      <t>ヒキスウ</t>
    </rPh>
    <phoneticPr fontId="2"/>
  </si>
  <si>
    <t>達成数</t>
    <rPh sb="0" eb="2">
      <t>タッセイ</t>
    </rPh>
    <rPh sb="2" eb="3">
      <t>スウ</t>
    </rPh>
    <phoneticPr fontId="2"/>
  </si>
  <si>
    <t>習熟段階引数</t>
    <rPh sb="0" eb="2">
      <t>シュウジュク</t>
    </rPh>
    <rPh sb="2" eb="4">
      <t>ダンカイ</t>
    </rPh>
    <rPh sb="4" eb="6">
      <t>ヒキスウ</t>
    </rPh>
    <phoneticPr fontId="2"/>
  </si>
  <si>
    <t>冒険者技能習得段階</t>
    <rPh sb="0" eb="3">
      <t>ボウケンシャ</t>
    </rPh>
    <rPh sb="3" eb="5">
      <t>ギノウ</t>
    </rPh>
    <rPh sb="5" eb="7">
      <t>シュウトク</t>
    </rPh>
    <rPh sb="7" eb="9">
      <t>ダンカイ</t>
    </rPh>
    <phoneticPr fontId="2"/>
  </si>
  <si>
    <t>ボーナスあり累積成長点</t>
    <rPh sb="6" eb="8">
      <t>ルイセキ</t>
    </rPh>
    <rPh sb="8" eb="10">
      <t>セイチョウ</t>
    </rPh>
    <rPh sb="10" eb="11">
      <t>テン</t>
    </rPh>
    <phoneticPr fontId="2"/>
  </si>
  <si>
    <t>一般技能習得段階</t>
    <rPh sb="0" eb="2">
      <t>イッパン</t>
    </rPh>
    <rPh sb="2" eb="4">
      <t>ギノウ</t>
    </rPh>
    <rPh sb="4" eb="6">
      <t>シュウトク</t>
    </rPh>
    <rPh sb="6" eb="8">
      <t>ダンカイ</t>
    </rPh>
    <phoneticPr fontId="2"/>
  </si>
  <si>
    <t>累積経験点</t>
    <rPh sb="0" eb="2">
      <t>ルイセキ</t>
    </rPh>
    <rPh sb="2" eb="4">
      <t>ケイケン</t>
    </rPh>
    <rPh sb="4" eb="5">
      <t>テン</t>
    </rPh>
    <phoneticPr fontId="2"/>
  </si>
  <si>
    <t>累積獲得成長点</t>
    <rPh sb="0" eb="2">
      <t>ルイセキ</t>
    </rPh>
    <rPh sb="2" eb="4">
      <t>カクトク</t>
    </rPh>
    <rPh sb="4" eb="6">
      <t>セイチョウ</t>
    </rPh>
    <rPh sb="6" eb="7">
      <t>テン</t>
    </rPh>
    <phoneticPr fontId="2"/>
  </si>
  <si>
    <t>生命力ボーナス</t>
    <rPh sb="0" eb="3">
      <t>セイメイリョク</t>
    </rPh>
    <phoneticPr fontId="2"/>
  </si>
  <si>
    <t>説明</t>
    <rPh sb="0" eb="2">
      <t>セツメイ</t>
    </rPh>
    <phoneticPr fontId="2"/>
  </si>
  <si>
    <t>修正</t>
    <rPh sb="0" eb="2">
      <t>シュウセイ</t>
    </rPh>
    <phoneticPr fontId="2"/>
  </si>
  <si>
    <t>修正2</t>
    <rPh sb="0" eb="2">
      <t>シュウセイ</t>
    </rPh>
    <phoneticPr fontId="2"/>
  </si>
  <si>
    <t>職業レベル</t>
    <rPh sb="0" eb="2">
      <t>ショクギョウ</t>
    </rPh>
    <phoneticPr fontId="2"/>
  </si>
  <si>
    <t>呪文</t>
    <rPh sb="0" eb="2">
      <t>ジュモン</t>
    </rPh>
    <phoneticPr fontId="2"/>
  </si>
  <si>
    <t>冒険者になった動機表</t>
    <rPh sb="0" eb="3">
      <t>ボウケンシャ</t>
    </rPh>
    <rPh sb="7" eb="9">
      <t>ドウキ</t>
    </rPh>
    <rPh sb="9" eb="10">
      <t>ヒョウ</t>
    </rPh>
    <phoneticPr fontId="2"/>
  </si>
  <si>
    <t>識別子</t>
    <rPh sb="0" eb="3">
      <t>シキベツシ</t>
    </rPh>
    <phoneticPr fontId="2"/>
  </si>
  <si>
    <t>出自表示</t>
    <rPh sb="0" eb="2">
      <t>シュツジ</t>
    </rPh>
    <rPh sb="2" eb="4">
      <t>ヒョウジ</t>
    </rPh>
    <phoneticPr fontId="2"/>
  </si>
  <si>
    <t>出自</t>
    <rPh sb="0" eb="2">
      <t>シュツジ</t>
    </rPh>
    <phoneticPr fontId="2"/>
  </si>
  <si>
    <t>職業</t>
    <rPh sb="0" eb="2">
      <t>ショクギョウ</t>
    </rPh>
    <phoneticPr fontId="2"/>
  </si>
  <si>
    <t>来歴表示</t>
    <rPh sb="0" eb="2">
      <t>ライレキ</t>
    </rPh>
    <rPh sb="2" eb="4">
      <t>ヒョウジ</t>
    </rPh>
    <phoneticPr fontId="2"/>
  </si>
  <si>
    <t>来歴</t>
    <rPh sb="0" eb="2">
      <t>ライレキ</t>
    </rPh>
    <phoneticPr fontId="2"/>
  </si>
  <si>
    <t>技能など</t>
    <rPh sb="0" eb="2">
      <t>ギノウ</t>
    </rPh>
    <phoneticPr fontId="2"/>
  </si>
  <si>
    <t>邂逅表示</t>
    <rPh sb="0" eb="2">
      <t>カイコウ</t>
    </rPh>
    <rPh sb="2" eb="4">
      <t>ヒョウジ</t>
    </rPh>
    <phoneticPr fontId="2"/>
  </si>
  <si>
    <t>邂逅</t>
    <rPh sb="0" eb="2">
      <t>カイコウ</t>
    </rPh>
    <phoneticPr fontId="2"/>
  </si>
  <si>
    <t>継戦カウンタ</t>
    <rPh sb="0" eb="2">
      <t>ケイセン</t>
    </rPh>
    <phoneticPr fontId="2"/>
  </si>
  <si>
    <t>継戦カウンターによる消耗</t>
    <rPh sb="0" eb="2">
      <t>ケイセン</t>
    </rPh>
    <rPh sb="10" eb="12">
      <t>ショウモウ</t>
    </rPh>
    <phoneticPr fontId="2"/>
  </si>
  <si>
    <t>戦闘消耗品</t>
    <rPh sb="0" eb="2">
      <t>セントウ</t>
    </rPh>
    <rPh sb="2" eb="4">
      <t>ショウモウ</t>
    </rPh>
    <rPh sb="4" eb="5">
      <t>ヒン</t>
    </rPh>
    <phoneticPr fontId="2"/>
  </si>
  <si>
    <t>スタック数</t>
    <rPh sb="4" eb="5">
      <t>スウ</t>
    </rPh>
    <phoneticPr fontId="2"/>
  </si>
  <si>
    <t>冒険者職業絞り込みなし</t>
    <rPh sb="0" eb="3">
      <t>ボウケンシャ</t>
    </rPh>
    <rPh sb="3" eb="5">
      <t>ショクギョウ</t>
    </rPh>
    <rPh sb="5" eb="6">
      <t>シボ</t>
    </rPh>
    <rPh sb="7" eb="8">
      <t>コ</t>
    </rPh>
    <phoneticPr fontId="2"/>
  </si>
  <si>
    <t>隠密修正</t>
    <rPh sb="0" eb="2">
      <t>オンミツ</t>
    </rPh>
    <rPh sb="2" eb="4">
      <t>シュウセイ</t>
    </rPh>
    <phoneticPr fontId="2"/>
  </si>
  <si>
    <t>遣い手</t>
    <rPh sb="0" eb="1">
      <t>ツカ</t>
    </rPh>
    <rPh sb="2" eb="3">
      <t>テ</t>
    </rPh>
    <phoneticPr fontId="2"/>
  </si>
  <si>
    <t>大成功</t>
    <rPh sb="0" eb="3">
      <t>ダイセイコウ</t>
    </rPh>
    <phoneticPr fontId="2"/>
  </si>
  <si>
    <t>創造呪文</t>
    <rPh sb="0" eb="2">
      <t>ソウゾウ</t>
    </rPh>
    <rPh sb="2" eb="4">
      <t>ジュモン</t>
    </rPh>
    <phoneticPr fontId="2"/>
  </si>
  <si>
    <t>生命</t>
    <rPh sb="0" eb="2">
      <t>セイメイ</t>
    </rPh>
    <phoneticPr fontId="2"/>
  </si>
  <si>
    <t>仇敵に復讐するため</t>
  </si>
  <si>
    <t>冒険者</t>
    <rPh sb="0" eb="3">
      <t>ボウケンシャ</t>
    </rPh>
    <phoneticPr fontId="2"/>
  </si>
  <si>
    <t>奴隷</t>
    <rPh sb="0" eb="2">
      <t>ドレイ</t>
    </rPh>
    <phoneticPr fontId="2"/>
  </si>
  <si>
    <t>宿敵</t>
    <rPh sb="0" eb="2">
      <t>シュクテキ</t>
    </rPh>
    <phoneticPr fontId="2"/>
  </si>
  <si>
    <t>荷重行動：初歩</t>
    <rPh sb="0" eb="2">
      <t>カジュウ</t>
    </rPh>
    <rPh sb="2" eb="4">
      <t>コウドウ</t>
    </rPh>
    <rPh sb="5" eb="7">
      <t>ショホ</t>
    </rPh>
    <phoneticPr fontId="2"/>
  </si>
  <si>
    <t>武器：投擲武器：初歩</t>
    <rPh sb="0" eb="2">
      <t>ブキ</t>
    </rPh>
    <rPh sb="3" eb="5">
      <t>トウテキ</t>
    </rPh>
    <rPh sb="5" eb="7">
      <t>ブキ</t>
    </rPh>
    <rPh sb="8" eb="10">
      <t>ショホ</t>
    </rPh>
    <phoneticPr fontId="2"/>
  </si>
  <si>
    <t>長距離移動：初歩</t>
    <rPh sb="0" eb="3">
      <t>チョウキョリ</t>
    </rPh>
    <rPh sb="3" eb="5">
      <t>イドウ</t>
    </rPh>
    <rPh sb="6" eb="8">
      <t>ショホ</t>
    </rPh>
    <phoneticPr fontId="2"/>
  </si>
  <si>
    <t>良い</t>
    <rPh sb="0" eb="1">
      <t>ヨ</t>
    </rPh>
    <phoneticPr fontId="2"/>
  </si>
  <si>
    <t>汎用呪文</t>
    <rPh sb="0" eb="2">
      <t>ハンヨウ</t>
    </rPh>
    <rPh sb="2" eb="4">
      <t>ジュモン</t>
    </rPh>
    <phoneticPr fontId="2"/>
  </si>
  <si>
    <t>物質</t>
    <rPh sb="0" eb="2">
      <t>ブッシツ</t>
    </rPh>
    <phoneticPr fontId="2"/>
  </si>
  <si>
    <t>借金を返済するため</t>
  </si>
  <si>
    <t>無頼</t>
    <rPh sb="0" eb="2">
      <t>ブライ</t>
    </rPh>
    <phoneticPr fontId="2"/>
  </si>
  <si>
    <t>牢獄</t>
    <rPh sb="0" eb="2">
      <t>ロウゴク</t>
    </rPh>
    <phoneticPr fontId="2"/>
  </si>
  <si>
    <t>上司</t>
    <rPh sb="0" eb="2">
      <t>ジョウシ</t>
    </rPh>
    <phoneticPr fontId="2"/>
  </si>
  <si>
    <t>鉱人</t>
    <rPh sb="0" eb="1">
      <t>コウ</t>
    </rPh>
    <rPh sb="1" eb="2">
      <t>ジン</t>
    </rPh>
    <phoneticPr fontId="2"/>
  </si>
  <si>
    <t>治癒適正：初歩</t>
    <rPh sb="0" eb="2">
      <t>チユ</t>
    </rPh>
    <rPh sb="2" eb="4">
      <t>テキセイ</t>
    </rPh>
    <rPh sb="5" eb="7">
      <t>ショホ</t>
    </rPh>
    <phoneticPr fontId="2"/>
  </si>
  <si>
    <t>暗視：初歩</t>
    <rPh sb="0" eb="2">
      <t>アンシ</t>
    </rPh>
    <rPh sb="3" eb="5">
      <t>ショホ</t>
    </rPh>
    <phoneticPr fontId="2"/>
  </si>
  <si>
    <t>工作：初歩</t>
    <rPh sb="0" eb="2">
      <t>コウサク</t>
    </rPh>
    <rPh sb="3" eb="5">
      <t>ショホ</t>
    </rPh>
    <phoneticPr fontId="2"/>
  </si>
  <si>
    <t>普通(-4)</t>
    <rPh sb="0" eb="2">
      <t>フツウ</t>
    </rPh>
    <phoneticPr fontId="2"/>
  </si>
  <si>
    <t>軽</t>
    <rPh sb="0" eb="1">
      <t>カル</t>
    </rPh>
    <phoneticPr fontId="2"/>
  </si>
  <si>
    <t>精神</t>
    <rPh sb="0" eb="2">
      <t>セイシン</t>
    </rPh>
    <phoneticPr fontId="2"/>
  </si>
  <si>
    <t>身近な人を追って</t>
  </si>
  <si>
    <t>猟師</t>
    <rPh sb="0" eb="2">
      <t>リョウシ</t>
    </rPh>
    <phoneticPr fontId="2"/>
  </si>
  <si>
    <t>戦場</t>
    <rPh sb="0" eb="2">
      <t>センジョウ</t>
    </rPh>
    <phoneticPr fontId="2"/>
  </si>
  <si>
    <t>後輩</t>
    <rPh sb="0" eb="2">
      <t>コウハイ</t>
    </rPh>
    <phoneticPr fontId="2"/>
  </si>
  <si>
    <t>精霊の愛し子：初歩</t>
    <rPh sb="0" eb="2">
      <t>セイレイ</t>
    </rPh>
    <rPh sb="3" eb="4">
      <t>アイ</t>
    </rPh>
    <rPh sb="5" eb="6">
      <t>ゴ</t>
    </rPh>
    <rPh sb="7" eb="9">
      <t>ショホ</t>
    </rPh>
    <phoneticPr fontId="2"/>
  </si>
  <si>
    <t>悪い(-8)</t>
    <rPh sb="0" eb="1">
      <t>ワル</t>
    </rPh>
    <phoneticPr fontId="2"/>
  </si>
  <si>
    <t>重</t>
    <rPh sb="0" eb="1">
      <t>オモ</t>
    </rPh>
    <phoneticPr fontId="2"/>
  </si>
  <si>
    <t>携帯食：3</t>
    <rPh sb="0" eb="3">
      <t>ケイタイショク</t>
    </rPh>
    <phoneticPr fontId="2"/>
  </si>
  <si>
    <t>啓示を受けて</t>
  </si>
  <si>
    <t>学者</t>
    <rPh sb="0" eb="2">
      <t>ガクシャ</t>
    </rPh>
    <phoneticPr fontId="2"/>
  </si>
  <si>
    <t>神殿</t>
    <rPh sb="0" eb="2">
      <t>シンデン</t>
    </rPh>
    <phoneticPr fontId="2"/>
  </si>
  <si>
    <t>取引相手</t>
    <rPh sb="0" eb="2">
      <t>トリヒキ</t>
    </rPh>
    <rPh sb="2" eb="4">
      <t>アイテ</t>
    </rPh>
    <phoneticPr fontId="2"/>
  </si>
  <si>
    <t>免疫強化：初歩</t>
    <rPh sb="0" eb="2">
      <t>メンエキ</t>
    </rPh>
    <rPh sb="2" eb="4">
      <t>キョウカ</t>
    </rPh>
    <rPh sb="5" eb="7">
      <t>ショホ</t>
    </rPh>
    <phoneticPr fontId="2"/>
  </si>
  <si>
    <t>竜の末裔：初歩</t>
    <rPh sb="0" eb="1">
      <t>リュウ</t>
    </rPh>
    <rPh sb="2" eb="4">
      <t>マツエイ</t>
    </rPh>
    <rPh sb="5" eb="7">
      <t>ショホ</t>
    </rPh>
    <phoneticPr fontId="2"/>
  </si>
  <si>
    <t>支配呪文</t>
    <rPh sb="0" eb="2">
      <t>シハイ</t>
    </rPh>
    <rPh sb="2" eb="4">
      <t>ジュモン</t>
    </rPh>
    <phoneticPr fontId="2"/>
  </si>
  <si>
    <t>水、風</t>
    <rPh sb="0" eb="1">
      <t>ミズ</t>
    </rPh>
    <rPh sb="2" eb="3">
      <t>カゼ</t>
    </rPh>
    <phoneticPr fontId="2"/>
  </si>
  <si>
    <t>人を探して</t>
  </si>
  <si>
    <t>職人</t>
    <rPh sb="0" eb="2">
      <t>ショクニン</t>
    </rPh>
    <phoneticPr fontId="2"/>
  </si>
  <si>
    <t>孤児</t>
    <rPh sb="0" eb="2">
      <t>コジ</t>
    </rPh>
    <phoneticPr fontId="2"/>
  </si>
  <si>
    <t>部下</t>
    <rPh sb="0" eb="2">
      <t>ブカ</t>
    </rPh>
    <phoneticPr fontId="2"/>
  </si>
  <si>
    <t>圃人</t>
    <rPh sb="0" eb="1">
      <t>ホ</t>
    </rPh>
    <rPh sb="1" eb="2">
      <t>ビト</t>
    </rPh>
    <phoneticPr fontId="2"/>
  </si>
  <si>
    <t>隠密：初歩</t>
    <rPh sb="0" eb="2">
      <t>オンミツ</t>
    </rPh>
    <rPh sb="3" eb="5">
      <t>ショホ</t>
    </rPh>
    <phoneticPr fontId="2"/>
  </si>
  <si>
    <t>機先：初歩</t>
    <rPh sb="0" eb="2">
      <t>キセン</t>
    </rPh>
    <rPh sb="3" eb="5">
      <t>ショホ</t>
    </rPh>
    <phoneticPr fontId="2"/>
  </si>
  <si>
    <t>調理：初歩</t>
    <rPh sb="0" eb="2">
      <t>チョウリ</t>
    </rPh>
    <rPh sb="3" eb="5">
      <t>ショホ</t>
    </rPh>
    <phoneticPr fontId="2"/>
  </si>
  <si>
    <t>時間</t>
    <rPh sb="0" eb="2">
      <t>ジカン</t>
    </rPh>
    <phoneticPr fontId="2"/>
  </si>
  <si>
    <t>使命を果たすため</t>
  </si>
  <si>
    <t>農民</t>
    <rPh sb="0" eb="2">
      <t>ノウミン</t>
    </rPh>
    <phoneticPr fontId="2"/>
  </si>
  <si>
    <t>平穏</t>
    <rPh sb="0" eb="2">
      <t>ヘイオン</t>
    </rPh>
    <phoneticPr fontId="2"/>
  </si>
  <si>
    <t>家族</t>
    <rPh sb="0" eb="2">
      <t>カゾク</t>
    </rPh>
    <phoneticPr fontId="2"/>
  </si>
  <si>
    <t>付与呪文</t>
    <rPh sb="0" eb="2">
      <t>フヨ</t>
    </rPh>
    <rPh sb="2" eb="4">
      <t>ジュモン</t>
    </rPh>
    <phoneticPr fontId="2"/>
  </si>
  <si>
    <t>身の潔白を証明するため</t>
  </si>
  <si>
    <t>商人</t>
    <rPh sb="0" eb="2">
      <t>ショウニン</t>
    </rPh>
    <phoneticPr fontId="2"/>
  </si>
  <si>
    <t>貧困</t>
    <rPh sb="0" eb="2">
      <t>ヒンコン</t>
    </rPh>
    <phoneticPr fontId="2"/>
  </si>
  <si>
    <t>親友</t>
    <rPh sb="0" eb="2">
      <t>シンユウ</t>
    </rPh>
    <phoneticPr fontId="2"/>
  </si>
  <si>
    <t>火</t>
    <rPh sb="0" eb="1">
      <t>ヒ</t>
    </rPh>
    <phoneticPr fontId="2"/>
  </si>
  <si>
    <t>故郷を失ったため</t>
  </si>
  <si>
    <t>兵士</t>
    <rPh sb="0" eb="2">
      <t>ヘイシ</t>
    </rPh>
    <phoneticPr fontId="2"/>
  </si>
  <si>
    <t>学校</t>
    <rPh sb="0" eb="2">
      <t>ガッコウ</t>
    </rPh>
    <phoneticPr fontId="2"/>
  </si>
  <si>
    <t>先輩</t>
    <rPh sb="0" eb="2">
      <t>センパイ</t>
    </rPh>
    <phoneticPr fontId="2"/>
  </si>
  <si>
    <t>未知なるものを求めて</t>
  </si>
  <si>
    <t>騎士</t>
    <rPh sb="0" eb="2">
      <t>キシ</t>
    </rPh>
    <phoneticPr fontId="2"/>
  </si>
  <si>
    <t>箱入り</t>
    <rPh sb="0" eb="2">
      <t>ハコイ</t>
    </rPh>
    <phoneticPr fontId="2"/>
  </si>
  <si>
    <t>婚約者</t>
    <rPh sb="0" eb="3">
      <t>コンヤクシャ</t>
    </rPh>
    <phoneticPr fontId="2"/>
  </si>
  <si>
    <t>腕試しのため</t>
  </si>
  <si>
    <t>贅沢</t>
    <rPh sb="0" eb="2">
      <t>ゼイタク</t>
    </rPh>
    <phoneticPr fontId="2"/>
  </si>
  <si>
    <t>好敵手</t>
    <rPh sb="0" eb="3">
      <t>コウテキシュ</t>
    </rPh>
    <phoneticPr fontId="2"/>
  </si>
  <si>
    <t>手当道具：5</t>
    <rPh sb="0" eb="2">
      <t>テアテ</t>
    </rPh>
    <rPh sb="2" eb="4">
      <t>ドウグ</t>
    </rPh>
    <phoneticPr fontId="2"/>
  </si>
  <si>
    <t>実力を証明するため</t>
  </si>
  <si>
    <t>貴族</t>
    <rPh sb="0" eb="2">
      <t>キゾク</t>
    </rPh>
    <phoneticPr fontId="2"/>
  </si>
  <si>
    <t>宮廷</t>
    <rPh sb="0" eb="2">
      <t>キュウテイ</t>
    </rPh>
    <phoneticPr fontId="2"/>
  </si>
  <si>
    <t>師匠</t>
    <rPh sb="0" eb="2">
      <t>シショウ</t>
    </rPh>
    <phoneticPr fontId="2"/>
  </si>
  <si>
    <t>土</t>
    <rPh sb="0" eb="1">
      <t>ツチ</t>
    </rPh>
    <phoneticPr fontId="2"/>
  </si>
  <si>
    <t>家門を再興するため</t>
  </si>
  <si>
    <t>英雄に憧れて</t>
  </si>
  <si>
    <t>真言呪文の発動体（＋１）</t>
    <rPh sb="0" eb="2">
      <t>シンゴン</t>
    </rPh>
    <rPh sb="2" eb="4">
      <t>ジュモン</t>
    </rPh>
    <rPh sb="5" eb="7">
      <t>ハツドウ</t>
    </rPh>
    <rPh sb="7" eb="8">
      <t>タイ</t>
    </rPh>
    <phoneticPr fontId="2"/>
  </si>
  <si>
    <t>昔からの憧れで</t>
  </si>
  <si>
    <t>真言呪文の発動体（＋２）</t>
    <rPh sb="0" eb="2">
      <t>シンゴン</t>
    </rPh>
    <rPh sb="2" eb="4">
      <t>ジュモン</t>
    </rPh>
    <rPh sb="5" eb="7">
      <t>ハツドウ</t>
    </rPh>
    <rPh sb="7" eb="8">
      <t>タイ</t>
    </rPh>
    <phoneticPr fontId="2"/>
  </si>
  <si>
    <t>運命の恋人に出会うため</t>
  </si>
  <si>
    <t>真言呪文の発動体（＋３）</t>
    <rPh sb="0" eb="2">
      <t>シンゴン</t>
    </rPh>
    <rPh sb="2" eb="4">
      <t>ジュモン</t>
    </rPh>
    <rPh sb="5" eb="7">
      <t>ハツドウ</t>
    </rPh>
    <rPh sb="7" eb="8">
      <t>タイ</t>
    </rPh>
    <phoneticPr fontId="2"/>
  </si>
  <si>
    <t>放浪癖があったので</t>
  </si>
  <si>
    <t>亭主</t>
    <rPh sb="0" eb="2">
      <t>テイシュ</t>
    </rPh>
    <phoneticPr fontId="2"/>
  </si>
  <si>
    <t>竜骨の御守（＋１）</t>
    <rPh sb="0" eb="2">
      <t>リュウコツ</t>
    </rPh>
    <rPh sb="3" eb="5">
      <t>オマモリ</t>
    </rPh>
    <phoneticPr fontId="2"/>
  </si>
  <si>
    <t>一攫千金を求めて</t>
  </si>
  <si>
    <t>鍛冶師</t>
    <rPh sb="0" eb="3">
      <t>カジシ</t>
    </rPh>
    <phoneticPr fontId="2"/>
  </si>
  <si>
    <t>竜骨の御守（＋２）</t>
    <rPh sb="0" eb="2">
      <t>リュウコツ</t>
    </rPh>
    <rPh sb="3" eb="5">
      <t>オマモリ</t>
    </rPh>
    <phoneticPr fontId="2"/>
  </si>
  <si>
    <t>新たな道として</t>
  </si>
  <si>
    <t>精霊石</t>
    <rPh sb="0" eb="2">
      <t>セイレイ</t>
    </rPh>
    <rPh sb="2" eb="3">
      <t>セキ</t>
    </rPh>
    <phoneticPr fontId="2"/>
  </si>
  <si>
    <t>盾砕き</t>
    <rPh sb="0" eb="1">
      <t>タテ</t>
    </rPh>
    <rPh sb="1" eb="2">
      <t>クダ</t>
    </rPh>
    <phoneticPr fontId="2"/>
  </si>
  <si>
    <t>空間</t>
    <rPh sb="0" eb="2">
      <t>クウカン</t>
    </rPh>
    <phoneticPr fontId="2"/>
  </si>
  <si>
    <t>石弾：10</t>
    <rPh sb="0" eb="1">
      <t>イシ</t>
    </rPh>
    <rPh sb="1" eb="2">
      <t>タマ</t>
    </rPh>
    <phoneticPr fontId="2"/>
  </si>
  <si>
    <t>半森人</t>
    <rPh sb="0" eb="1">
      <t>ハン</t>
    </rPh>
    <rPh sb="1" eb="2">
      <t>モリ</t>
    </rPh>
    <rPh sb="2" eb="3">
      <t>ビト</t>
    </rPh>
    <phoneticPr fontId="2"/>
  </si>
  <si>
    <t>細工師</t>
    <rPh sb="0" eb="3">
      <t>サイクシ</t>
    </rPh>
    <phoneticPr fontId="2"/>
  </si>
  <si>
    <t>矢：10</t>
    <rPh sb="0" eb="1">
      <t>ヤ</t>
    </rPh>
    <phoneticPr fontId="2"/>
  </si>
  <si>
    <t>詩人</t>
    <rPh sb="0" eb="2">
      <t>シジン</t>
    </rPh>
    <phoneticPr fontId="2"/>
  </si>
  <si>
    <t>太矢：10</t>
    <rPh sb="0" eb="1">
      <t>フト</t>
    </rPh>
    <rPh sb="1" eb="2">
      <t>ヤ</t>
    </rPh>
    <phoneticPr fontId="2"/>
  </si>
  <si>
    <t>楽士</t>
    <rPh sb="0" eb="2">
      <t>ガクシ</t>
    </rPh>
    <phoneticPr fontId="2"/>
  </si>
  <si>
    <t>語り部</t>
    <rPh sb="0" eb="1">
      <t>カタ</t>
    </rPh>
    <rPh sb="2" eb="3">
      <t>ベ</t>
    </rPh>
    <phoneticPr fontId="2"/>
  </si>
  <si>
    <t>祈祷師</t>
    <rPh sb="0" eb="3">
      <t>キトウシ</t>
    </rPh>
    <phoneticPr fontId="2"/>
  </si>
  <si>
    <t>弾丸：10</t>
    <rPh sb="0" eb="2">
      <t>ダンガン</t>
    </rPh>
    <phoneticPr fontId="2"/>
  </si>
  <si>
    <t>族長</t>
    <rPh sb="0" eb="2">
      <t>ゾクチョウ</t>
    </rPh>
    <phoneticPr fontId="2"/>
  </si>
  <si>
    <t>攻撃呪文</t>
    <rPh sb="0" eb="2">
      <t>コウゲキ</t>
    </rPh>
    <rPh sb="2" eb="4">
      <t>ジュモン</t>
    </rPh>
    <phoneticPr fontId="2"/>
  </si>
  <si>
    <t>火の秘薬：10</t>
    <rPh sb="0" eb="1">
      <t>ヒ</t>
    </rPh>
    <rPh sb="2" eb="4">
      <t>ヒヤク</t>
    </rPh>
    <phoneticPr fontId="2"/>
  </si>
  <si>
    <t>投矢</t>
    <rPh sb="0" eb="1">
      <t>ナ</t>
    </rPh>
    <rPh sb="1" eb="2">
      <t>ヤ</t>
    </rPh>
    <phoneticPr fontId="2"/>
  </si>
  <si>
    <t>騎兵</t>
    <rPh sb="0" eb="2">
      <t>キヘイ</t>
    </rPh>
    <phoneticPr fontId="2"/>
  </si>
  <si>
    <t>投矢：5</t>
    <rPh sb="0" eb="1">
      <t>ナ</t>
    </rPh>
    <rPh sb="1" eb="2">
      <t>ヤ</t>
    </rPh>
    <phoneticPr fontId="2"/>
  </si>
  <si>
    <t>工兵</t>
    <rPh sb="0" eb="2">
      <t>コウヘイ</t>
    </rPh>
    <phoneticPr fontId="2"/>
  </si>
  <si>
    <t>弓兵</t>
    <rPh sb="0" eb="2">
      <t>キュウヘイ</t>
    </rPh>
    <phoneticPr fontId="2"/>
  </si>
  <si>
    <t>槍兵</t>
    <rPh sb="0" eb="1">
      <t>ヤリ</t>
    </rPh>
    <rPh sb="1" eb="2">
      <t>ヘイ</t>
    </rPh>
    <phoneticPr fontId="2"/>
  </si>
  <si>
    <t>松明：6</t>
    <rPh sb="0" eb="2">
      <t>タイマツ</t>
    </rPh>
    <phoneticPr fontId="2"/>
  </si>
  <si>
    <t>歩兵</t>
    <rPh sb="0" eb="2">
      <t>ホヘイ</t>
    </rPh>
    <phoneticPr fontId="2"/>
  </si>
  <si>
    <t>軍師</t>
    <rPh sb="0" eb="2">
      <t>グンシ</t>
    </rPh>
    <phoneticPr fontId="2"/>
  </si>
  <si>
    <t>生命、精神</t>
    <rPh sb="0" eb="2">
      <t>セイメイ</t>
    </rPh>
    <rPh sb="3" eb="5">
      <t>セイシン</t>
    </rPh>
    <phoneticPr fontId="2"/>
  </si>
  <si>
    <t>司祭</t>
    <rPh sb="0" eb="2">
      <t>シサイ</t>
    </rPh>
    <phoneticPr fontId="2"/>
  </si>
  <si>
    <t>王卵</t>
    <rPh sb="0" eb="1">
      <t>オウ</t>
    </rPh>
    <rPh sb="1" eb="2">
      <t>ラン</t>
    </rPh>
    <phoneticPr fontId="2"/>
  </si>
  <si>
    <t>ランプ</t>
  </si>
  <si>
    <t>ベルトポーチ</t>
  </si>
  <si>
    <t>治癒呪文</t>
    <rPh sb="0" eb="4">
      <t>チユジュモン</t>
    </rPh>
    <phoneticPr fontId="2"/>
  </si>
  <si>
    <t>風</t>
    <rPh sb="0" eb="1">
      <t>カゼ</t>
    </rPh>
    <phoneticPr fontId="2"/>
  </si>
  <si>
    <t>庭師</t>
    <rPh sb="0" eb="2">
      <t>ニワシ</t>
    </rPh>
    <phoneticPr fontId="2"/>
  </si>
  <si>
    <t>テント</t>
  </si>
  <si>
    <t>地主</t>
    <rPh sb="0" eb="2">
      <t>ジヌシ</t>
    </rPh>
    <phoneticPr fontId="2"/>
  </si>
  <si>
    <t>ロープ：10</t>
    <phoneticPr fontId="2"/>
  </si>
  <si>
    <t>防毒面(達成値19以下の毒物を無効化)</t>
    <rPh sb="0" eb="2">
      <t>ボウドク</t>
    </rPh>
    <rPh sb="2" eb="3">
      <t>メン</t>
    </rPh>
    <phoneticPr fontId="2"/>
  </si>
  <si>
    <t>マント</t>
  </si>
  <si>
    <t>ロバ</t>
  </si>
  <si>
    <t>チーズ</t>
  </si>
  <si>
    <t>能力上昇の秘薬(器用)</t>
    <rPh sb="0" eb="2">
      <t>ノウリョク</t>
    </rPh>
    <rPh sb="2" eb="4">
      <t>ジョウショウ</t>
    </rPh>
    <rPh sb="5" eb="7">
      <t>ヒヤク</t>
    </rPh>
    <rPh sb="8" eb="10">
      <t>キヨウ</t>
    </rPh>
    <phoneticPr fontId="2"/>
  </si>
  <si>
    <t>能力上昇の秘薬(筋力)</t>
    <rPh sb="0" eb="2">
      <t>ノウリョク</t>
    </rPh>
    <rPh sb="2" eb="4">
      <t>ジョウショウ</t>
    </rPh>
    <rPh sb="5" eb="7">
      <t>ヒヤク</t>
    </rPh>
    <rPh sb="8" eb="10">
      <t>キンリョク</t>
    </rPh>
    <phoneticPr fontId="2"/>
  </si>
  <si>
    <t>能力上昇の秘薬(精神)</t>
    <rPh sb="0" eb="2">
      <t>ノウリョク</t>
    </rPh>
    <rPh sb="2" eb="4">
      <t>ジョウショウ</t>
    </rPh>
    <rPh sb="5" eb="7">
      <t>ヒヤク</t>
    </rPh>
    <rPh sb="8" eb="10">
      <t>セイシン</t>
    </rPh>
    <phoneticPr fontId="2"/>
  </si>
  <si>
    <t>能力上昇の秘薬(走力)</t>
    <rPh sb="0" eb="2">
      <t>ノウリョク</t>
    </rPh>
    <rPh sb="2" eb="4">
      <t>ジョウショウ</t>
    </rPh>
    <rPh sb="5" eb="7">
      <t>ヒヤク</t>
    </rPh>
    <rPh sb="8" eb="10">
      <t>ソウリョク</t>
    </rPh>
    <phoneticPr fontId="2"/>
  </si>
  <si>
    <t>能力上昇の秘薬(体力)</t>
    <rPh sb="0" eb="2">
      <t>ノウリョク</t>
    </rPh>
    <rPh sb="2" eb="4">
      <t>ジョウショウ</t>
    </rPh>
    <rPh sb="5" eb="7">
      <t>ヒヤク</t>
    </rPh>
    <rPh sb="8" eb="10">
      <t>タイリョク</t>
    </rPh>
    <phoneticPr fontId="2"/>
  </si>
  <si>
    <t>能力上昇の秘薬(知覚)</t>
    <rPh sb="0" eb="2">
      <t>ノウリョク</t>
    </rPh>
    <rPh sb="2" eb="4">
      <t>ジョウショウ</t>
    </rPh>
    <rPh sb="5" eb="7">
      <t>ヒヤク</t>
    </rPh>
    <rPh sb="8" eb="10">
      <t>チカク</t>
    </rPh>
    <phoneticPr fontId="2"/>
  </si>
  <si>
    <t>能力上昇の秘薬(敏捷)</t>
    <rPh sb="0" eb="2">
      <t>ノウリョク</t>
    </rPh>
    <rPh sb="2" eb="4">
      <t>ジョウショウ</t>
    </rPh>
    <rPh sb="5" eb="7">
      <t>ヒヤク</t>
    </rPh>
    <rPh sb="8" eb="10">
      <t>ビンショウ</t>
    </rPh>
    <phoneticPr fontId="2"/>
  </si>
  <si>
    <t>精霊術</t>
    <rPh sb="0" eb="3">
      <t>セイレイジュツ</t>
    </rPh>
    <phoneticPr fontId="2"/>
  </si>
  <si>
    <t>精霊の手紙</t>
    <rPh sb="0" eb="2">
      <t>セイレイ</t>
    </rPh>
    <rPh sb="3" eb="5">
      <t>テガミ</t>
    </rPh>
    <phoneticPr fontId="2"/>
  </si>
  <si>
    <t>手紙</t>
    <rPh sb="0" eb="2">
      <t>テガミ</t>
    </rPh>
    <phoneticPr fontId="2"/>
  </si>
  <si>
    <t>髪飾り</t>
    <rPh sb="0" eb="2">
      <t>カミカザ</t>
    </rPh>
    <phoneticPr fontId="2"/>
  </si>
  <si>
    <t>魔法の手鏡</t>
    <rPh sb="0" eb="2">
      <t>マホウ</t>
    </rPh>
    <rPh sb="3" eb="4">
      <t>テ</t>
    </rPh>
    <rPh sb="4" eb="5">
      <t>カガミ</t>
    </rPh>
    <phoneticPr fontId="2"/>
  </si>
  <si>
    <t>竜息の松明</t>
    <rPh sb="0" eb="1">
      <t>リュウ</t>
    </rPh>
    <rPh sb="1" eb="2">
      <t>イキ</t>
    </rPh>
    <rPh sb="3" eb="5">
      <t>タイマツ</t>
    </rPh>
    <phoneticPr fontId="2"/>
  </si>
  <si>
    <t>火、水、土、風</t>
    <rPh sb="0" eb="1">
      <t>ヒ</t>
    </rPh>
    <rPh sb="2" eb="3">
      <t>ミズ</t>
    </rPh>
    <rPh sb="4" eb="5">
      <t>ツチ</t>
    </rPh>
    <rPh sb="6" eb="7">
      <t>カゼ</t>
    </rPh>
    <phoneticPr fontId="2"/>
  </si>
  <si>
    <t>龍涎の御香</t>
    <rPh sb="0" eb="1">
      <t>リュウ</t>
    </rPh>
    <rPh sb="1" eb="2">
      <t>ヨダレ</t>
    </rPh>
    <rPh sb="3" eb="4">
      <t>オ</t>
    </rPh>
    <rPh sb="4" eb="5">
      <t>コウ</t>
    </rPh>
    <phoneticPr fontId="2"/>
  </si>
  <si>
    <t>竜血の塗り薬</t>
    <rPh sb="0" eb="1">
      <t>リュウ</t>
    </rPh>
    <rPh sb="1" eb="2">
      <t>ケツ</t>
    </rPh>
    <rPh sb="3" eb="6">
      <t>ヌリグスリ</t>
    </rPh>
    <phoneticPr fontId="2"/>
  </si>
  <si>
    <t>水、精神</t>
    <rPh sb="0" eb="1">
      <t>ミズ</t>
    </rPh>
    <rPh sb="2" eb="4">
      <t>セイシン</t>
    </rPh>
    <phoneticPr fontId="2"/>
  </si>
  <si>
    <t>火、風、空間</t>
    <rPh sb="0" eb="1">
      <t>ヒ</t>
    </rPh>
    <rPh sb="2" eb="3">
      <t>カゼ</t>
    </rPh>
    <rPh sb="4" eb="6">
      <t>クウカン</t>
    </rPh>
    <phoneticPr fontId="2"/>
  </si>
  <si>
    <t>土、空間</t>
    <rPh sb="0" eb="1">
      <t>ツチ</t>
    </rPh>
    <rPh sb="2" eb="4">
      <t>クウカン</t>
    </rPh>
    <phoneticPr fontId="2"/>
  </si>
  <si>
    <t>長剣</t>
  </si>
  <si>
    <t>吹雪（精霊術）</t>
    <rPh sb="0" eb="2">
      <t>フブキ</t>
    </rPh>
    <rPh sb="3" eb="5">
      <t>セイレイ</t>
    </rPh>
    <rPh sb="5" eb="6">
      <t>ジュツ</t>
    </rPh>
    <phoneticPr fontId="2"/>
  </si>
  <si>
    <t>鮫刃の剣</t>
  </si>
  <si>
    <t>湾刀</t>
  </si>
  <si>
    <t>片手半剣</t>
  </si>
  <si>
    <t>鎧通し</t>
  </si>
  <si>
    <t>炎紋剣</t>
  </si>
  <si>
    <t>大剣</t>
  </si>
  <si>
    <t>戦斧</t>
  </si>
  <si>
    <t>小槍</t>
  </si>
  <si>
    <t>鉄小槍</t>
  </si>
  <si>
    <t>拳帯</t>
  </si>
  <si>
    <t>虎爪</t>
  </si>
  <si>
    <t>拳鍔</t>
  </si>
  <si>
    <t>魔法の短剣（＋１）</t>
  </si>
  <si>
    <t>魔法の短剣（＋２）</t>
  </si>
  <si>
    <t>外套</t>
  </si>
  <si>
    <t>布鎧</t>
  </si>
  <si>
    <t>旅人の外套</t>
  </si>
  <si>
    <t>綿鎧</t>
  </si>
  <si>
    <t>神官服</t>
  </si>
  <si>
    <t>司教服</t>
  </si>
  <si>
    <t>野伏の外套</t>
  </si>
  <si>
    <t>狩人の外套</t>
  </si>
  <si>
    <t>革鎧</t>
  </si>
  <si>
    <t>硬い革鎧</t>
  </si>
  <si>
    <t>下着鎧</t>
  </si>
  <si>
    <t>鋲付きの革鎧</t>
  </si>
  <si>
    <t>鎖帷子</t>
  </si>
  <si>
    <t>鱗状鎧</t>
  </si>
  <si>
    <t>板状鎧</t>
  </si>
  <si>
    <t>小札鎧</t>
  </si>
  <si>
    <t>胴鎧</t>
  </si>
  <si>
    <t>板金鎧</t>
  </si>
  <si>
    <t>当世具足</t>
  </si>
  <si>
    <t>魔法の鋲付きの革鎧（＋１）</t>
  </si>
  <si>
    <t>魔法の鋲付きの革鎧（＋２）</t>
  </si>
  <si>
    <t>大篭手</t>
  </si>
  <si>
    <t>小盾</t>
  </si>
  <si>
    <t>円盾</t>
  </si>
  <si>
    <t>吊盾</t>
  </si>
  <si>
    <t>投火盾</t>
  </si>
  <si>
    <t>尖盾</t>
  </si>
  <si>
    <t>馬上盾</t>
  </si>
  <si>
    <t>騎士盾</t>
  </si>
  <si>
    <t>大盾</t>
  </si>
  <si>
    <t>魔法の小盾（＋１）</t>
  </si>
  <si>
    <t>邪紋の短剣（＋２）</t>
  </si>
  <si>
    <t>片手</t>
    <rPh sb="0" eb="2">
      <t>カタテ</t>
    </rPh>
    <phoneticPr fontId="2"/>
  </si>
  <si>
    <t>刺</t>
    <rPh sb="0" eb="1">
      <t>サ</t>
    </rPh>
    <phoneticPr fontId="2"/>
  </si>
  <si>
    <t>1d3+1</t>
    <phoneticPr fontId="2"/>
  </si>
  <si>
    <t>近接</t>
    <rPh sb="0" eb="2">
      <t>キンセツ</t>
    </rPh>
    <phoneticPr fontId="2"/>
  </si>
  <si>
    <t>投擲適用</t>
    <rPh sb="0" eb="2">
      <t>トウテキ</t>
    </rPh>
    <rPh sb="2" eb="4">
      <t>テキヨウ</t>
    </rPh>
    <phoneticPr fontId="2"/>
  </si>
  <si>
    <t>斬刺</t>
    <rPh sb="0" eb="1">
      <t>キ</t>
    </rPh>
    <rPh sb="1" eb="2">
      <t>サ</t>
    </rPh>
    <phoneticPr fontId="2"/>
  </si>
  <si>
    <t>斬</t>
    <rPh sb="0" eb="1">
      <t>キ</t>
    </rPh>
    <phoneticPr fontId="2"/>
  </si>
  <si>
    <t>1d3+2</t>
    <phoneticPr fontId="2"/>
  </si>
  <si>
    <t>投擲不可</t>
    <rPh sb="0" eb="2">
      <t>トウテキ</t>
    </rPh>
    <rPh sb="2" eb="4">
      <t>フカ</t>
    </rPh>
    <phoneticPr fontId="2"/>
  </si>
  <si>
    <t>斬殴</t>
    <rPh sb="0" eb="1">
      <t>キ</t>
    </rPh>
    <rPh sb="1" eb="2">
      <t>ナグ</t>
    </rPh>
    <phoneticPr fontId="2"/>
  </si>
  <si>
    <t>1d6</t>
    <phoneticPr fontId="2"/>
  </si>
  <si>
    <t>投擲適用、強打・斬(+0)、強打・殴(+0)</t>
    <rPh sb="0" eb="2">
      <t>トウテキ</t>
    </rPh>
    <rPh sb="2" eb="4">
      <t>テキヨウ</t>
    </rPh>
    <rPh sb="5" eb="7">
      <t>キョウダ</t>
    </rPh>
    <rPh sb="8" eb="9">
      <t>ザン</t>
    </rPh>
    <rPh sb="14" eb="16">
      <t>キョウダ</t>
    </rPh>
    <rPh sb="17" eb="18">
      <t>ナグ</t>
    </rPh>
    <phoneticPr fontId="2"/>
  </si>
  <si>
    <t>投擲適用、受け流し(+0)、強打・斬(+1)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phoneticPr fontId="2"/>
  </si>
  <si>
    <t>斬刺殴</t>
    <rPh sb="0" eb="1">
      <t>キ</t>
    </rPh>
    <rPh sb="1" eb="2">
      <t>サ</t>
    </rPh>
    <rPh sb="2" eb="3">
      <t>ナグ</t>
    </rPh>
    <phoneticPr fontId="2"/>
  </si>
  <si>
    <t>投擲適用、受け流し(+0)、強打・斬(+0)、刺突(+1)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シトツ</t>
    </rPh>
    <phoneticPr fontId="2"/>
  </si>
  <si>
    <t>1d6+1</t>
    <phoneticPr fontId="2"/>
  </si>
  <si>
    <t>投擲適用、受け流し(+1)、斬落</t>
    <rPh sb="0" eb="2">
      <t>トウテキ</t>
    </rPh>
    <rPh sb="2" eb="4">
      <t>テキヨウ</t>
    </rPh>
    <rPh sb="5" eb="6">
      <t>ウ</t>
    </rPh>
    <rPh sb="7" eb="8">
      <t>ナガ</t>
    </rPh>
    <rPh sb="14" eb="15">
      <t>キ</t>
    </rPh>
    <rPh sb="15" eb="16">
      <t>オ</t>
    </rPh>
    <phoneticPr fontId="2"/>
  </si>
  <si>
    <t>刺突(+2)</t>
    <rPh sb="0" eb="2">
      <t>シトツ</t>
    </rPh>
    <phoneticPr fontId="2"/>
  </si>
  <si>
    <t>1d6+3</t>
    <phoneticPr fontId="2"/>
  </si>
  <si>
    <t>投擲適用、受け流し(+0)、強打・斬(+1)、強打・殴(+0)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キョウダ</t>
    </rPh>
    <rPh sb="26" eb="27">
      <t>ナグ</t>
    </rPh>
    <phoneticPr fontId="2"/>
  </si>
  <si>
    <t>1d6+2</t>
    <phoneticPr fontId="2"/>
  </si>
  <si>
    <t>両手</t>
    <rPh sb="0" eb="2">
      <t>リョウテ</t>
    </rPh>
    <phoneticPr fontId="2"/>
  </si>
  <si>
    <t>2d6+2</t>
    <phoneticPr fontId="2"/>
  </si>
  <si>
    <t>投擲適用、受け流し(+1)、強打・斬(+2)、強打・殴(+0)、刺突(+1)</t>
    <rPh sb="0" eb="2">
      <t>トウテキ</t>
    </rPh>
    <rPh sb="2" eb="4">
      <t>テキヨウ</t>
    </rPh>
    <rPh sb="5" eb="6">
      <t>ウ</t>
    </rPh>
    <rPh sb="7" eb="8">
      <t>ナガ</t>
    </rPh>
    <rPh sb="14" eb="16">
      <t>キョウダ</t>
    </rPh>
    <rPh sb="17" eb="18">
      <t>ザン</t>
    </rPh>
    <rPh sb="32" eb="34">
      <t>シトツ</t>
    </rPh>
    <phoneticPr fontId="2"/>
  </si>
  <si>
    <t>強打・斬(+1)</t>
    <rPh sb="0" eb="2">
      <t>キョウダ</t>
    </rPh>
    <rPh sb="3" eb="4">
      <t>ザン</t>
    </rPh>
    <phoneticPr fontId="2"/>
  </si>
  <si>
    <t>2d6</t>
    <phoneticPr fontId="2"/>
  </si>
  <si>
    <t>受け流し(+1)、斬落</t>
    <rPh sb="0" eb="1">
      <t>ウ</t>
    </rPh>
    <rPh sb="2" eb="3">
      <t>ナガ</t>
    </rPh>
    <rPh sb="9" eb="10">
      <t>キ</t>
    </rPh>
    <rPh sb="10" eb="11">
      <t>オ</t>
    </rPh>
    <phoneticPr fontId="2"/>
  </si>
  <si>
    <t>1d6+4</t>
    <phoneticPr fontId="2"/>
  </si>
  <si>
    <t>強打・斬(+0)</t>
    <rPh sb="0" eb="2">
      <t>キョウダ</t>
    </rPh>
    <rPh sb="3" eb="4">
      <t>ザン</t>
    </rPh>
    <phoneticPr fontId="2"/>
  </si>
  <si>
    <t>2d6+3</t>
    <phoneticPr fontId="2"/>
  </si>
  <si>
    <t>受け流し(+0)、強打・斬(+1)、強打・殴(0)、刺突(+1)</t>
    <rPh sb="0" eb="1">
      <t>ウ</t>
    </rPh>
    <rPh sb="2" eb="3">
      <t>ナガ</t>
    </rPh>
    <rPh sb="9" eb="11">
      <t>キョウダ</t>
    </rPh>
    <rPh sb="12" eb="13">
      <t>ザン</t>
    </rPh>
    <rPh sb="18" eb="20">
      <t>キョウダ</t>
    </rPh>
    <rPh sb="21" eb="22">
      <t>ナグ</t>
    </rPh>
    <rPh sb="26" eb="28">
      <t>シトツ</t>
    </rPh>
    <phoneticPr fontId="2"/>
  </si>
  <si>
    <t>長大、刺突(+2)</t>
    <rPh sb="0" eb="2">
      <t>チョウダイ</t>
    </rPh>
    <rPh sb="3" eb="5">
      <t>シトツ</t>
    </rPh>
    <phoneticPr fontId="2"/>
  </si>
  <si>
    <t>2d6+4</t>
    <phoneticPr fontId="2"/>
  </si>
  <si>
    <t>長大、受け流し(+1)、強打・斬(+2)、刺突(+1)、斬落</t>
    <rPh sb="0" eb="2">
      <t>チョウダイ</t>
    </rPh>
    <rPh sb="3" eb="4">
      <t>ウ</t>
    </rPh>
    <rPh sb="5" eb="6">
      <t>ナガ</t>
    </rPh>
    <rPh sb="12" eb="14">
      <t>キョウダ</t>
    </rPh>
    <rPh sb="15" eb="16">
      <t>ザン</t>
    </rPh>
    <rPh sb="21" eb="23">
      <t>シトツ</t>
    </rPh>
    <rPh sb="28" eb="29">
      <t>キ</t>
    </rPh>
    <rPh sb="29" eb="30">
      <t>オ</t>
    </rPh>
    <phoneticPr fontId="2"/>
  </si>
  <si>
    <t>長大、受け流し(+0)、強打・斬(+3)、強打・殴(+1)、刺突(+1)</t>
    <rPh sb="0" eb="2">
      <t>チョウダイ</t>
    </rPh>
    <rPh sb="3" eb="4">
      <t>ウ</t>
    </rPh>
    <rPh sb="5" eb="6">
      <t>ナガ</t>
    </rPh>
    <rPh sb="12" eb="14">
      <t>キョウダ</t>
    </rPh>
    <rPh sb="15" eb="16">
      <t>ザン</t>
    </rPh>
    <rPh sb="30" eb="32">
      <t>シトツ</t>
    </rPh>
    <phoneticPr fontId="2"/>
  </si>
  <si>
    <t>殴</t>
    <rPh sb="0" eb="1">
      <t>ナグ</t>
    </rPh>
    <phoneticPr fontId="2"/>
  </si>
  <si>
    <t>1d3</t>
    <phoneticPr fontId="2"/>
  </si>
  <si>
    <t>投擲不可、受け流し不可、強打・殴(+0)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phoneticPr fontId="2"/>
  </si>
  <si>
    <t>強打(+0)</t>
    <rPh sb="0" eb="2">
      <t>キョウダ</t>
    </rPh>
    <phoneticPr fontId="2"/>
  </si>
  <si>
    <t>投擲適用、強打(+0)</t>
    <rPh sb="0" eb="2">
      <t>トウテキ</t>
    </rPh>
    <rPh sb="2" eb="4">
      <t>テキヨウ</t>
    </rPh>
    <rPh sb="5" eb="7">
      <t>キョウダ</t>
    </rPh>
    <phoneticPr fontId="2"/>
  </si>
  <si>
    <t>投擲適用、刺突(+1)</t>
    <rPh sb="0" eb="2">
      <t>トウテキ</t>
    </rPh>
    <rPh sb="2" eb="4">
      <t>テキヨウ</t>
    </rPh>
    <rPh sb="5" eb="7">
      <t>シトツ</t>
    </rPh>
    <phoneticPr fontId="2"/>
  </si>
  <si>
    <t>投擲適用、強打(+1)</t>
    <rPh sb="0" eb="2">
      <t>トウテキ</t>
    </rPh>
    <rPh sb="2" eb="4">
      <t>テキヨウ</t>
    </rPh>
    <rPh sb="5" eb="7">
      <t>キョウダ</t>
    </rPh>
    <phoneticPr fontId="2"/>
  </si>
  <si>
    <t>2d6-1</t>
    <phoneticPr fontId="2"/>
  </si>
  <si>
    <t>受け流し不可、強打・殴(+1)</t>
    <rPh sb="0" eb="1">
      <t>ウ</t>
    </rPh>
    <rPh sb="2" eb="3">
      <t>ナガ</t>
    </rPh>
    <rPh sb="4" eb="6">
      <t>フカ</t>
    </rPh>
    <rPh sb="7" eb="9">
      <t>キョウダ</t>
    </rPh>
    <rPh sb="10" eb="11">
      <t>ナグ</t>
    </rPh>
    <phoneticPr fontId="2"/>
  </si>
  <si>
    <t>長大、強打・殴(+2)</t>
    <rPh sb="0" eb="2">
      <t>チョウダイ</t>
    </rPh>
    <rPh sb="3" eb="5">
      <t>キョウダ</t>
    </rPh>
    <rPh sb="6" eb="7">
      <t>ナグ</t>
    </rPh>
    <phoneticPr fontId="2"/>
  </si>
  <si>
    <t>3d6</t>
    <phoneticPr fontId="2"/>
  </si>
  <si>
    <t>長大、投擲不可、強打・殴(+4)</t>
    <rPh sb="0" eb="2">
      <t>チョウダイ</t>
    </rPh>
    <rPh sb="3" eb="5">
      <t>トウテキ</t>
    </rPh>
    <rPh sb="5" eb="7">
      <t>フカ</t>
    </rPh>
    <rPh sb="8" eb="10">
      <t>キョウダ</t>
    </rPh>
    <rPh sb="11" eb="12">
      <t>ナグ</t>
    </rPh>
    <phoneticPr fontId="2"/>
  </si>
  <si>
    <t>60m</t>
    <phoneticPr fontId="2"/>
  </si>
  <si>
    <t>刺突(+1)、速射(-4)</t>
    <rPh sb="0" eb="2">
      <t>シトツ</t>
    </rPh>
    <rPh sb="7" eb="9">
      <t>ソクシャ</t>
    </rPh>
    <phoneticPr fontId="2"/>
  </si>
  <si>
    <t>刺突(+1)</t>
    <rPh sb="0" eb="2">
      <t>シトツ</t>
    </rPh>
    <phoneticPr fontId="2"/>
  </si>
  <si>
    <t>120m</t>
    <phoneticPr fontId="2"/>
  </si>
  <si>
    <t>長大、刺突(+1)、速射(-4)</t>
    <rPh sb="0" eb="1">
      <t>チョウ</t>
    </rPh>
    <rPh sb="1" eb="2">
      <t>ダイ</t>
    </rPh>
    <rPh sb="3" eb="5">
      <t>シトツ</t>
    </rPh>
    <rPh sb="10" eb="12">
      <t>ソクシャ</t>
    </rPh>
    <phoneticPr fontId="2"/>
  </si>
  <si>
    <t>長大、刺突(+2)、速射(-8)</t>
    <rPh sb="0" eb="1">
      <t>チョウ</t>
    </rPh>
    <rPh sb="1" eb="2">
      <t>ダイ</t>
    </rPh>
    <rPh sb="3" eb="5">
      <t>シトツ</t>
    </rPh>
    <rPh sb="10" eb="12">
      <t>ソクシャ</t>
    </rPh>
    <phoneticPr fontId="2"/>
  </si>
  <si>
    <t>投擲不可、刺突(+2)</t>
    <rPh sb="0" eb="2">
      <t>トウテキ</t>
    </rPh>
    <rPh sb="2" eb="4">
      <t>フカ</t>
    </rPh>
    <rPh sb="5" eb="7">
      <t>シトツ</t>
    </rPh>
    <phoneticPr fontId="2"/>
  </si>
  <si>
    <t>長大、投擲不可</t>
    <rPh sb="0" eb="2">
      <t>チョウダイ</t>
    </rPh>
    <rPh sb="3" eb="5">
      <t>トウテキ</t>
    </rPh>
    <rPh sb="5" eb="7">
      <t>フカ</t>
    </rPh>
    <phoneticPr fontId="2"/>
  </si>
  <si>
    <t>10m</t>
    <phoneticPr fontId="2"/>
  </si>
  <si>
    <t>投擲専用</t>
    <rPh sb="0" eb="2">
      <t>トウテキ</t>
    </rPh>
    <rPh sb="2" eb="4">
      <t>センヨウ</t>
    </rPh>
    <phoneticPr fontId="2"/>
  </si>
  <si>
    <t>20m</t>
    <phoneticPr fontId="2"/>
  </si>
  <si>
    <t>投擲専用、拘束</t>
    <rPh sb="0" eb="2">
      <t>トウテキ</t>
    </rPh>
    <rPh sb="2" eb="4">
      <t>センヨウ</t>
    </rPh>
    <rPh sb="5" eb="7">
      <t>コウソク</t>
    </rPh>
    <phoneticPr fontId="2"/>
  </si>
  <si>
    <t>30m</t>
    <phoneticPr fontId="2"/>
  </si>
  <si>
    <t>投擲専用、強打・殴(+0)</t>
    <rPh sb="0" eb="2">
      <t>トウテキ</t>
    </rPh>
    <rPh sb="2" eb="4">
      <t>センヨウ</t>
    </rPh>
    <rPh sb="5" eb="7">
      <t>キョウダ</t>
    </rPh>
    <rPh sb="8" eb="9">
      <t>ナグ</t>
    </rPh>
    <phoneticPr fontId="2"/>
  </si>
  <si>
    <t>投擲専用、速射(-4)</t>
    <rPh sb="0" eb="2">
      <t>トウテキ</t>
    </rPh>
    <rPh sb="2" eb="4">
      <t>センヨウ</t>
    </rPh>
    <rPh sb="5" eb="7">
      <t>ソクシャ</t>
    </rPh>
    <phoneticPr fontId="2"/>
  </si>
  <si>
    <t>投擲専用、刺突(+1)</t>
    <rPh sb="0" eb="2">
      <t>トウテキ</t>
    </rPh>
    <rPh sb="2" eb="4">
      <t>センヨウ</t>
    </rPh>
    <rPh sb="5" eb="7">
      <t>シトツ</t>
    </rPh>
    <phoneticPr fontId="2"/>
  </si>
  <si>
    <t>投擲専用、斬落</t>
    <rPh sb="0" eb="2">
      <t>トウテキ</t>
    </rPh>
    <rPh sb="2" eb="4">
      <t>センヨウ</t>
    </rPh>
    <rPh sb="5" eb="6">
      <t>キ</t>
    </rPh>
    <rPh sb="6" eb="7">
      <t>オ</t>
    </rPh>
    <phoneticPr fontId="2"/>
  </si>
  <si>
    <t>投擲専用、強打・斬(+1)、刺突(+1)、斬落</t>
    <rPh sb="0" eb="2">
      <t>トウテキ</t>
    </rPh>
    <rPh sb="2" eb="4">
      <t>センヨウ</t>
    </rPh>
    <rPh sb="5" eb="7">
      <t>キョウダ</t>
    </rPh>
    <rPh sb="8" eb="9">
      <t>ザン</t>
    </rPh>
    <rPh sb="14" eb="16">
      <t>シトツ</t>
    </rPh>
    <rPh sb="21" eb="22">
      <t>キ</t>
    </rPh>
    <rPh sb="22" eb="23">
      <t>オ</t>
    </rPh>
    <phoneticPr fontId="2"/>
  </si>
  <si>
    <t>投擲専用、強打・殴(+2)、速射(-4)</t>
    <rPh sb="0" eb="2">
      <t>トウテキ</t>
    </rPh>
    <rPh sb="2" eb="4">
      <t>センヨウ</t>
    </rPh>
    <rPh sb="5" eb="7">
      <t>キョウダ</t>
    </rPh>
    <rPh sb="8" eb="9">
      <t>ナグ</t>
    </rPh>
    <rPh sb="14" eb="16">
      <t>ソクシャ</t>
    </rPh>
    <phoneticPr fontId="2"/>
  </si>
  <si>
    <t>斬</t>
    <rPh sb="0" eb="1">
      <t>ザン</t>
    </rPh>
    <phoneticPr fontId="2"/>
  </si>
  <si>
    <t>投擲専用、受け流し不可、強打・斬(+2)、斬落、拘束</t>
    <rPh sb="0" eb="4">
      <t>トウテキセンヨウ</t>
    </rPh>
    <rPh sb="5" eb="6">
      <t>ウ</t>
    </rPh>
    <rPh sb="7" eb="8">
      <t>ナガ</t>
    </rPh>
    <rPh sb="9" eb="11">
      <t>フカ</t>
    </rPh>
    <rPh sb="12" eb="14">
      <t>キョウダ</t>
    </rPh>
    <rPh sb="15" eb="16">
      <t>ザン</t>
    </rPh>
    <rPh sb="21" eb="22">
      <t>キ</t>
    </rPh>
    <rPh sb="22" eb="23">
      <t>オ</t>
    </rPh>
    <rPh sb="24" eb="26">
      <t>コウソク</t>
    </rPh>
    <phoneticPr fontId="2"/>
  </si>
  <si>
    <t>投擲特化(威力：1d6+2、命中修正：+2、射程：20m)</t>
    <rPh sb="0" eb="2">
      <t>トウテキ</t>
    </rPh>
    <rPh sb="2" eb="4">
      <t>トッカ</t>
    </rPh>
    <rPh sb="5" eb="7">
      <t>イリョク</t>
    </rPh>
    <rPh sb="14" eb="16">
      <t>メイチュウ</t>
    </rPh>
    <rPh sb="16" eb="18">
      <t>シュウセイ</t>
    </rPh>
    <rPh sb="22" eb="24">
      <t>シャテイ</t>
    </rPh>
    <phoneticPr fontId="2"/>
  </si>
  <si>
    <t>投擲特化(威力：1d6+2、命中修正：+2、射程：20m)、強打・斬(+0)</t>
    <rPh sb="0" eb="2">
      <t>トウテキ</t>
    </rPh>
    <rPh sb="2" eb="4">
      <t>トッカ</t>
    </rPh>
    <rPh sb="5" eb="7">
      <t>イリョク</t>
    </rPh>
    <rPh sb="14" eb="16">
      <t>メイチュウ</t>
    </rPh>
    <rPh sb="16" eb="18">
      <t>シュウセイ</t>
    </rPh>
    <rPh sb="22" eb="24">
      <t>シャテイ</t>
    </rPh>
    <rPh sb="30" eb="32">
      <t>キョウダ</t>
    </rPh>
    <rPh sb="33" eb="34">
      <t>ザン</t>
    </rPh>
    <phoneticPr fontId="2"/>
  </si>
  <si>
    <t>斬殴</t>
    <rPh sb="0" eb="1">
      <t>ザン</t>
    </rPh>
    <rPh sb="1" eb="2">
      <t>ナグ</t>
    </rPh>
    <phoneticPr fontId="2"/>
  </si>
  <si>
    <t>投擲適用、強打・斬(+1)、強打・殴(0)</t>
    <rPh sb="0" eb="2">
      <t>トウテキ</t>
    </rPh>
    <rPh sb="2" eb="4">
      <t>テキヨウ</t>
    </rPh>
    <rPh sb="5" eb="7">
      <t>キョウダ</t>
    </rPh>
    <rPh sb="8" eb="9">
      <t>ザン</t>
    </rPh>
    <rPh sb="14" eb="16">
      <t>キョウダ</t>
    </rPh>
    <rPh sb="17" eb="18">
      <t>ナグ</t>
    </rPh>
    <phoneticPr fontId="2"/>
  </si>
  <si>
    <t>投擲適用、強打・斬(+2)、強打・殴(+1)</t>
    <rPh sb="0" eb="2">
      <t>トウテキ</t>
    </rPh>
    <rPh sb="2" eb="4">
      <t>テキヨウ</t>
    </rPh>
    <rPh sb="5" eb="7">
      <t>キョウダ</t>
    </rPh>
    <rPh sb="8" eb="9">
      <t>ザン</t>
    </rPh>
    <rPh sb="14" eb="16">
      <t>キョウダ</t>
    </rPh>
    <rPh sb="17" eb="18">
      <t>ナグ</t>
    </rPh>
    <phoneticPr fontId="2"/>
  </si>
  <si>
    <t>1d6+6</t>
    <phoneticPr fontId="2"/>
  </si>
  <si>
    <t>長大、強打・斬(+2)、強打・殴(+2)</t>
    <rPh sb="0" eb="2">
      <t>チョウダイ</t>
    </rPh>
    <rPh sb="3" eb="5">
      <t>キョウダ</t>
    </rPh>
    <rPh sb="6" eb="7">
      <t>ザン</t>
    </rPh>
    <rPh sb="12" eb="14">
      <t>キョウダ</t>
    </rPh>
    <rPh sb="15" eb="16">
      <t>ナグ</t>
    </rPh>
    <phoneticPr fontId="2"/>
  </si>
  <si>
    <t>斬刺</t>
    <rPh sb="0" eb="1">
      <t>ザン</t>
    </rPh>
    <rPh sb="1" eb="2">
      <t>サ</t>
    </rPh>
    <phoneticPr fontId="2"/>
  </si>
  <si>
    <t>長大、投擲不可、受け流し(+1)、強打・斬(+2)、刺突(+1)</t>
    <rPh sb="0" eb="2">
      <t>チョウダイ</t>
    </rPh>
    <rPh sb="3" eb="5">
      <t>トウテキ</t>
    </rPh>
    <rPh sb="5" eb="7">
      <t>フカ</t>
    </rPh>
    <rPh sb="8" eb="9">
      <t>ウ</t>
    </rPh>
    <rPh sb="10" eb="11">
      <t>ナガ</t>
    </rPh>
    <rPh sb="17" eb="19">
      <t>キョウダ</t>
    </rPh>
    <rPh sb="20" eb="21">
      <t>ザン</t>
    </rPh>
    <rPh sb="26" eb="28">
      <t>シトツ</t>
    </rPh>
    <phoneticPr fontId="2"/>
  </si>
  <si>
    <t>投擲特化(威力：1d3+3、命中修正：なし、射程：20m)</t>
    <rPh sb="0" eb="2">
      <t>トウテキ</t>
    </rPh>
    <rPh sb="2" eb="4">
      <t>トッカ</t>
    </rPh>
    <rPh sb="5" eb="7">
      <t>イリョク</t>
    </rPh>
    <rPh sb="14" eb="16">
      <t>メイチュウ</t>
    </rPh>
    <rPh sb="16" eb="18">
      <t>シュウセイ</t>
    </rPh>
    <rPh sb="22" eb="24">
      <t>シャテイ</t>
    </rPh>
    <phoneticPr fontId="2"/>
  </si>
  <si>
    <t>投擲適用、受け流し(+0)、刺突(+1)</t>
    <rPh sb="0" eb="2">
      <t>トウテキ</t>
    </rPh>
    <rPh sb="2" eb="4">
      <t>テキヨウ</t>
    </rPh>
    <rPh sb="5" eb="6">
      <t>ウ</t>
    </rPh>
    <rPh sb="7" eb="8">
      <t>ナガ</t>
    </rPh>
    <rPh sb="14" eb="16">
      <t>シトツ</t>
    </rPh>
    <phoneticPr fontId="2"/>
  </si>
  <si>
    <t>刺殴</t>
    <rPh sb="0" eb="1">
      <t>サ</t>
    </rPh>
    <rPh sb="1" eb="2">
      <t>ナグ</t>
    </rPh>
    <phoneticPr fontId="2"/>
  </si>
  <si>
    <t>投擲適用、刺突(+1)、強打・殴(+0)</t>
    <rPh sb="0" eb="2">
      <t>トウテキ</t>
    </rPh>
    <rPh sb="2" eb="4">
      <t>テキヨウ</t>
    </rPh>
    <rPh sb="5" eb="7">
      <t>シトツ</t>
    </rPh>
    <rPh sb="12" eb="14">
      <t>キョウダ</t>
    </rPh>
    <rPh sb="15" eb="16">
      <t>ナグ</t>
    </rPh>
    <phoneticPr fontId="2"/>
  </si>
  <si>
    <t>投擲適用、受け流し(+1)、刺突(+1)、強打・殴(+1)</t>
    <rPh sb="0" eb="2">
      <t>トウテキ</t>
    </rPh>
    <rPh sb="2" eb="4">
      <t>テキヨウ</t>
    </rPh>
    <rPh sb="5" eb="6">
      <t>ウ</t>
    </rPh>
    <rPh sb="7" eb="8">
      <t>ナガ</t>
    </rPh>
    <rPh sb="14" eb="16">
      <t>シトツ</t>
    </rPh>
    <rPh sb="21" eb="23">
      <t>キョウダ</t>
    </rPh>
    <rPh sb="24" eb="25">
      <t>ナグ</t>
    </rPh>
    <phoneticPr fontId="2"/>
  </si>
  <si>
    <t>長大、刺突(+1)</t>
    <rPh sb="0" eb="2">
      <t>チョウダイ</t>
    </rPh>
    <rPh sb="3" eb="5">
      <t>シトツ</t>
    </rPh>
    <phoneticPr fontId="2"/>
  </si>
  <si>
    <t>3d6-2</t>
    <phoneticPr fontId="2"/>
  </si>
  <si>
    <t>長大、投擲不可、刺突(+2)</t>
    <rPh sb="0" eb="2">
      <t>チョウダイ</t>
    </rPh>
    <rPh sb="3" eb="5">
      <t>トウテキ</t>
    </rPh>
    <rPh sb="5" eb="7">
      <t>フカ</t>
    </rPh>
    <rPh sb="8" eb="10">
      <t>シトツ</t>
    </rPh>
    <phoneticPr fontId="2"/>
  </si>
  <si>
    <t>斬刺殴</t>
    <rPh sb="0" eb="1">
      <t>ザン</t>
    </rPh>
    <rPh sb="1" eb="2">
      <t>サ</t>
    </rPh>
    <rPh sb="2" eb="3">
      <t>ナグ</t>
    </rPh>
    <phoneticPr fontId="2"/>
  </si>
  <si>
    <t>長大、投擲不可、受け流し(+1)、強打・斬(+3)、斬落</t>
    <rPh sb="0" eb="2">
      <t>チョウダイ</t>
    </rPh>
    <rPh sb="3" eb="5">
      <t>トウテキ</t>
    </rPh>
    <rPh sb="5" eb="7">
      <t>フカ</t>
    </rPh>
    <rPh sb="8" eb="9">
      <t>ウ</t>
    </rPh>
    <rPh sb="10" eb="11">
      <t>ナガ</t>
    </rPh>
    <rPh sb="17" eb="19">
      <t>キョウダ</t>
    </rPh>
    <rPh sb="20" eb="21">
      <t>ザン</t>
    </rPh>
    <rPh sb="26" eb="27">
      <t>キ</t>
    </rPh>
    <rPh sb="27" eb="28">
      <t>オ</t>
    </rPh>
    <phoneticPr fontId="2"/>
  </si>
  <si>
    <t>3d6+2</t>
    <phoneticPr fontId="2"/>
  </si>
  <si>
    <t>長大、投擲不可、強打・殴(+0)、刺突(+2)</t>
    <rPh sb="0" eb="2">
      <t>チョウダイ</t>
    </rPh>
    <rPh sb="3" eb="5">
      <t>トウテキ</t>
    </rPh>
    <rPh sb="5" eb="7">
      <t>フカ</t>
    </rPh>
    <rPh sb="8" eb="10">
      <t>キョウダ</t>
    </rPh>
    <rPh sb="11" eb="12">
      <t>ナグ</t>
    </rPh>
    <rPh sb="17" eb="19">
      <t>シトツ</t>
    </rPh>
    <phoneticPr fontId="2"/>
  </si>
  <si>
    <t>受け流し(+1)、真言呪文の呪文行使判定に+1ボーナス</t>
    <rPh sb="0" eb="1">
      <t>ウ</t>
    </rPh>
    <rPh sb="2" eb="3">
      <t>ナガ</t>
    </rPh>
    <rPh sb="9" eb="11">
      <t>シンゴン</t>
    </rPh>
    <rPh sb="11" eb="13">
      <t>ジュモン</t>
    </rPh>
    <rPh sb="14" eb="16">
      <t>ジュモン</t>
    </rPh>
    <rPh sb="16" eb="18">
      <t>コウシ</t>
    </rPh>
    <rPh sb="18" eb="20">
      <t>ハンテイ</t>
    </rPh>
    <phoneticPr fontId="2"/>
  </si>
  <si>
    <t>受け流し(+1)、奇跡の呪文行使判定に+1ボーナス</t>
    <rPh sb="0" eb="1">
      <t>ウ</t>
    </rPh>
    <rPh sb="2" eb="3">
      <t>ナガ</t>
    </rPh>
    <rPh sb="9" eb="11">
      <t>キセキ</t>
    </rPh>
    <rPh sb="12" eb="14">
      <t>ジュモン</t>
    </rPh>
    <rPh sb="14" eb="16">
      <t>コウシ</t>
    </rPh>
    <rPh sb="16" eb="18">
      <t>ハンテイ</t>
    </rPh>
    <phoneticPr fontId="2"/>
  </si>
  <si>
    <t>受け流し(+1)、奇跡の呪文行使判定に+2ボーナス</t>
    <rPh sb="0" eb="1">
      <t>ウ</t>
    </rPh>
    <rPh sb="2" eb="3">
      <t>ナガ</t>
    </rPh>
    <rPh sb="9" eb="11">
      <t>キセキ</t>
    </rPh>
    <rPh sb="12" eb="14">
      <t>ジュモン</t>
    </rPh>
    <rPh sb="14" eb="16">
      <t>コウシ</t>
    </rPh>
    <rPh sb="16" eb="18">
      <t>ハンテイ</t>
    </rPh>
    <phoneticPr fontId="2"/>
  </si>
  <si>
    <t>受け流し(+1)</t>
    <rPh sb="0" eb="1">
      <t>ウ</t>
    </rPh>
    <rPh sb="2" eb="3">
      <t>ナガ</t>
    </rPh>
    <phoneticPr fontId="2"/>
  </si>
  <si>
    <t>受け流し(+1)、強打・殴(+2)</t>
    <rPh sb="0" eb="1">
      <t>ウ</t>
    </rPh>
    <rPh sb="2" eb="3">
      <t>ナガ</t>
    </rPh>
    <rPh sb="9" eb="11">
      <t>キョウダ</t>
    </rPh>
    <rPh sb="12" eb="13">
      <t>ナグ</t>
    </rPh>
    <phoneticPr fontId="2"/>
  </si>
  <si>
    <t>投擲不可、受け流し不可、強打・殴(+1)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phoneticPr fontId="2"/>
  </si>
  <si>
    <t>長大、受け流し(+1)、強打・殴(+3)</t>
    <rPh sb="0" eb="2">
      <t>チョウダイ</t>
    </rPh>
    <rPh sb="3" eb="4">
      <t>ウ</t>
    </rPh>
    <rPh sb="5" eb="6">
      <t>ナガ</t>
    </rPh>
    <rPh sb="12" eb="14">
      <t>キョウダ</t>
    </rPh>
    <rPh sb="15" eb="16">
      <t>ナグ</t>
    </rPh>
    <phoneticPr fontId="2"/>
  </si>
  <si>
    <t>1d6-1</t>
    <phoneticPr fontId="2"/>
  </si>
  <si>
    <t>投擲不可、受け流し不可、強打・殴(+0)、拘束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rPh sb="21" eb="23">
      <t>コウソク</t>
    </rPh>
    <phoneticPr fontId="2"/>
  </si>
  <si>
    <t>投擲不可、受け流し不可、強打・殴(+1)、拘束、アンデッドに対しては威力が4d6になる</t>
    <rPh sb="0" eb="2">
      <t>トウテキ</t>
    </rPh>
    <rPh sb="2" eb="4">
      <t>フカ</t>
    </rPh>
    <rPh sb="5" eb="6">
      <t>ウ</t>
    </rPh>
    <rPh sb="7" eb="8">
      <t>ナガ</t>
    </rPh>
    <rPh sb="9" eb="11">
      <t>フカ</t>
    </rPh>
    <rPh sb="12" eb="14">
      <t>キョウダ</t>
    </rPh>
    <rPh sb="15" eb="16">
      <t>ナグ</t>
    </rPh>
    <rPh sb="21" eb="23">
      <t>コウソク</t>
    </rPh>
    <rPh sb="30" eb="31">
      <t>タイ</t>
    </rPh>
    <rPh sb="34" eb="36">
      <t>イリョク</t>
    </rPh>
    <phoneticPr fontId="2"/>
  </si>
  <si>
    <t>1d3+3</t>
    <phoneticPr fontId="2"/>
  </si>
  <si>
    <t>投擲不可、強打・殴(+0)</t>
    <rPh sb="0" eb="2">
      <t>トウテキ</t>
    </rPh>
    <rPh sb="2" eb="4">
      <t>フカ</t>
    </rPh>
    <rPh sb="5" eb="7">
      <t>キョウダ</t>
    </rPh>
    <rPh sb="8" eb="9">
      <t>ナグ</t>
    </rPh>
    <phoneticPr fontId="2"/>
  </si>
  <si>
    <t>受け流し(+0)、強打・殴(+0)</t>
    <rPh sb="0" eb="1">
      <t>ウ</t>
    </rPh>
    <rPh sb="2" eb="3">
      <t>ナガ</t>
    </rPh>
    <rPh sb="9" eb="11">
      <t>キョウダ</t>
    </rPh>
    <rPh sb="12" eb="13">
      <t>ナグ</t>
    </rPh>
    <phoneticPr fontId="2"/>
  </si>
  <si>
    <t>投擲不可、受け流し(+0)、強打・斬(+0)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phoneticPr fontId="2"/>
  </si>
  <si>
    <t>投擲不可、受け流し(+1)、強打・斬(+1)、刺突(+1)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シトツ</t>
    </rPh>
    <phoneticPr fontId="2"/>
  </si>
  <si>
    <t>受け流し(+2)、強打・殴(+0)、刺突(+1)</t>
    <rPh sb="0" eb="1">
      <t>ウ</t>
    </rPh>
    <rPh sb="2" eb="3">
      <t>ナガ</t>
    </rPh>
    <rPh sb="9" eb="11">
      <t>キョウダ</t>
    </rPh>
    <rPh sb="12" eb="13">
      <t>ナグ</t>
    </rPh>
    <rPh sb="18" eb="20">
      <t>シトツ</t>
    </rPh>
    <phoneticPr fontId="2"/>
  </si>
  <si>
    <t>特殊</t>
    <rPh sb="0" eb="2">
      <t>トクシュ</t>
    </rPh>
    <phoneticPr fontId="2"/>
  </si>
  <si>
    <t>投擲不可、強打・殴(+1)、回避修正-1、移動修正-4、両足に装備するため、両手には別の装備を装備可能</t>
    <rPh sb="0" eb="4">
      <t>トウテキフカ</t>
    </rPh>
    <rPh sb="5" eb="7">
      <t>キョウダ</t>
    </rPh>
    <rPh sb="8" eb="9">
      <t>ナグ</t>
    </rPh>
    <rPh sb="14" eb="16">
      <t>カイヒ</t>
    </rPh>
    <rPh sb="16" eb="18">
      <t>シュウセイ</t>
    </rPh>
    <rPh sb="21" eb="23">
      <t>イドウ</t>
    </rPh>
    <rPh sb="23" eb="25">
      <t>シュウセイ</t>
    </rPh>
    <rPh sb="28" eb="30">
      <t>リョウアシ</t>
    </rPh>
    <rPh sb="31" eb="33">
      <t>ソウビ</t>
    </rPh>
    <rPh sb="38" eb="40">
      <t>リョウテ</t>
    </rPh>
    <rPh sb="42" eb="43">
      <t>ベツ</t>
    </rPh>
    <rPh sb="44" eb="46">
      <t>ソウビ</t>
    </rPh>
    <rPh sb="47" eb="49">
      <t>ソウビ</t>
    </rPh>
    <rPh sb="49" eb="51">
      <t>カノウ</t>
    </rPh>
    <phoneticPr fontId="2"/>
  </si>
  <si>
    <t>投擲不可、受け流し(+0)、強打・斬(+1)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phoneticPr fontId="2"/>
  </si>
  <si>
    <t>投擲不可、受け流し(+1)、強打・斬(+2)、刺突(+1)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ザン</t>
    </rPh>
    <rPh sb="23" eb="25">
      <t>シトツ</t>
    </rPh>
    <phoneticPr fontId="2"/>
  </si>
  <si>
    <t>投擲不可、受け流し(+0)、強打・殴(+1)</t>
    <rPh sb="0" eb="4">
      <t>トウテキフカ</t>
    </rPh>
    <rPh sb="5" eb="6">
      <t>ウ</t>
    </rPh>
    <rPh sb="7" eb="8">
      <t>ナガ</t>
    </rPh>
    <rPh sb="14" eb="16">
      <t>キョウダ</t>
    </rPh>
    <rPh sb="17" eb="18">
      <t>ナグ</t>
    </rPh>
    <phoneticPr fontId="2"/>
  </si>
  <si>
    <t>投擲適用、魔法の武器、第六感判定+1ボーナス、1時間で水袋一杯分の水を生む</t>
    <rPh sb="0" eb="2">
      <t>トウテキ</t>
    </rPh>
    <rPh sb="2" eb="4">
      <t>テキヨウ</t>
    </rPh>
    <rPh sb="5" eb="7">
      <t>マホウ</t>
    </rPh>
    <rPh sb="8" eb="10">
      <t>ブキ</t>
    </rPh>
    <rPh sb="11" eb="14">
      <t>ダイロッカン</t>
    </rPh>
    <rPh sb="14" eb="16">
      <t>ハンテイ</t>
    </rPh>
    <rPh sb="24" eb="26">
      <t>ジカン</t>
    </rPh>
    <rPh sb="27" eb="28">
      <t>ミズ</t>
    </rPh>
    <rPh sb="28" eb="29">
      <t>ブクロ</t>
    </rPh>
    <rPh sb="29" eb="31">
      <t>イッパイ</t>
    </rPh>
    <rPh sb="31" eb="32">
      <t>ブン</t>
    </rPh>
    <rPh sb="33" eb="34">
      <t>ミズ</t>
    </rPh>
    <rPh sb="35" eb="36">
      <t>ウ</t>
    </rPh>
    <phoneticPr fontId="2"/>
  </si>
  <si>
    <t>投擲適用、魔法の武器</t>
    <rPh sb="0" eb="2">
      <t>トウテキ</t>
    </rPh>
    <rPh sb="2" eb="4">
      <t>テキヨウ</t>
    </rPh>
    <rPh sb="5" eb="7">
      <t>マホウ</t>
    </rPh>
    <rPh sb="8" eb="10">
      <t>ブキ</t>
    </rPh>
    <phoneticPr fontId="2"/>
  </si>
  <si>
    <t>投擲適用、疑似的な魔法の武器</t>
    <rPh sb="0" eb="2">
      <t>トウテキ</t>
    </rPh>
    <rPh sb="2" eb="4">
      <t>テキヨウ</t>
    </rPh>
    <rPh sb="5" eb="8">
      <t>ギジテキ</t>
    </rPh>
    <rPh sb="9" eb="11">
      <t>マホウ</t>
    </rPh>
    <rPh sb="12" eb="14">
      <t>ブキ</t>
    </rPh>
    <phoneticPr fontId="2"/>
  </si>
  <si>
    <t>投擲適用、魔法の武器、真言呪文行使判定+1ボーナス、不思議な小悪魔の「13刻の自由」が使える</t>
    <rPh sb="0" eb="2">
      <t>トウテキ</t>
    </rPh>
    <rPh sb="2" eb="4">
      <t>テキヨウ</t>
    </rPh>
    <rPh sb="5" eb="7">
      <t>マホウ</t>
    </rPh>
    <rPh sb="8" eb="10">
      <t>ブキ</t>
    </rPh>
    <rPh sb="11" eb="13">
      <t>シンゴン</t>
    </rPh>
    <rPh sb="13" eb="15">
      <t>ジュモン</t>
    </rPh>
    <rPh sb="15" eb="17">
      <t>コウシ</t>
    </rPh>
    <rPh sb="17" eb="19">
      <t>ハンテイ</t>
    </rPh>
    <rPh sb="26" eb="29">
      <t>フシギ</t>
    </rPh>
    <rPh sb="30" eb="33">
      <t>コアクマ</t>
    </rPh>
    <rPh sb="37" eb="38">
      <t>コク</t>
    </rPh>
    <rPh sb="39" eb="41">
      <t>ジユウ</t>
    </rPh>
    <rPh sb="43" eb="44">
      <t>ツカ</t>
    </rPh>
    <phoneticPr fontId="2"/>
  </si>
  <si>
    <t>刺突(+1)、速射(-4)、矢を魔法の武器にする、第六感判定+1ボーナス、体術判定+1ボーナス</t>
    <rPh sb="0" eb="2">
      <t>シトツ</t>
    </rPh>
    <rPh sb="7" eb="9">
      <t>ソクシャ</t>
    </rPh>
    <rPh sb="14" eb="15">
      <t>ヤ</t>
    </rPh>
    <rPh sb="16" eb="18">
      <t>マホウ</t>
    </rPh>
    <rPh sb="19" eb="21">
      <t>ブキ</t>
    </rPh>
    <rPh sb="37" eb="39">
      <t>タイジュツ</t>
    </rPh>
    <rPh sb="39" eb="41">
      <t>ハンテイ</t>
    </rPh>
    <phoneticPr fontId="2"/>
  </si>
  <si>
    <t>1d3+4</t>
    <phoneticPr fontId="2"/>
  </si>
  <si>
    <t>1d3+5</t>
    <phoneticPr fontId="2"/>
  </si>
  <si>
    <t>投擲適用、魔法の武器、真言呪文行使判定+2ボーナス、不思議な小悪魔の「13刻の自由」が使える</t>
    <rPh sb="0" eb="2">
      <t>トウテキ</t>
    </rPh>
    <rPh sb="2" eb="4">
      <t>テキヨウ</t>
    </rPh>
    <rPh sb="5" eb="7">
      <t>マホウ</t>
    </rPh>
    <rPh sb="8" eb="10">
      <t>ブキ</t>
    </rPh>
    <rPh sb="11" eb="13">
      <t>シンゴン</t>
    </rPh>
    <rPh sb="13" eb="15">
      <t>ジュモン</t>
    </rPh>
    <rPh sb="15" eb="17">
      <t>コウシ</t>
    </rPh>
    <rPh sb="17" eb="19">
      <t>ハンテイ</t>
    </rPh>
    <rPh sb="26" eb="29">
      <t>フシギ</t>
    </rPh>
    <rPh sb="30" eb="33">
      <t>コアクマ</t>
    </rPh>
    <rPh sb="37" eb="38">
      <t>コク</t>
    </rPh>
    <rPh sb="39" eb="41">
      <t>ジユウ</t>
    </rPh>
    <rPh sb="43" eb="44">
      <t>ツカ</t>
    </rPh>
    <phoneticPr fontId="2"/>
  </si>
  <si>
    <t>布</t>
    <rPh sb="0" eb="1">
      <t>ヌノ</t>
    </rPh>
    <phoneticPr fontId="2"/>
  </si>
  <si>
    <t>神官または竜司祭を1レベル以上で装甲値+1</t>
    <rPh sb="0" eb="2">
      <t>シンカン</t>
    </rPh>
    <rPh sb="5" eb="6">
      <t>リュウ</t>
    </rPh>
    <rPh sb="6" eb="8">
      <t>シサイ</t>
    </rPh>
    <rPh sb="13" eb="15">
      <t>イジョウ</t>
    </rPh>
    <rPh sb="16" eb="18">
      <t>ソウコウ</t>
    </rPh>
    <rPh sb="18" eb="19">
      <t>チ</t>
    </rPh>
    <phoneticPr fontId="2"/>
  </si>
  <si>
    <t>神官または竜司祭を5レベル以上で装甲値+2</t>
    <rPh sb="0" eb="2">
      <t>シンカン</t>
    </rPh>
    <rPh sb="5" eb="6">
      <t>リュウ</t>
    </rPh>
    <rPh sb="6" eb="8">
      <t>シサイ</t>
    </rPh>
    <rPh sb="13" eb="15">
      <t>イジョウ</t>
    </rPh>
    <rPh sb="16" eb="18">
      <t>ソウコウ</t>
    </rPh>
    <rPh sb="18" eb="19">
      <t>チ</t>
    </rPh>
    <phoneticPr fontId="2"/>
  </si>
  <si>
    <t>野伏を1レベル以上で隠密判定+2</t>
    <rPh sb="0" eb="2">
      <t>ノブセ</t>
    </rPh>
    <rPh sb="7" eb="9">
      <t>イジョウ</t>
    </rPh>
    <rPh sb="10" eb="12">
      <t>オンミツ</t>
    </rPh>
    <rPh sb="12" eb="14">
      <t>ハンテイ</t>
    </rPh>
    <phoneticPr fontId="2"/>
  </si>
  <si>
    <t>革</t>
    <rPh sb="0" eb="1">
      <t>カワ</t>
    </rPh>
    <phoneticPr fontId="2"/>
  </si>
  <si>
    <t>野伏を1レベル以上で回避判定+1</t>
    <rPh sb="0" eb="2">
      <t>ノブセ</t>
    </rPh>
    <rPh sb="7" eb="9">
      <t>イジョウ</t>
    </rPh>
    <rPh sb="10" eb="12">
      <t>カイヒ</t>
    </rPh>
    <rPh sb="12" eb="14">
      <t>ハンテイ</t>
    </rPh>
    <phoneticPr fontId="2"/>
  </si>
  <si>
    <t>荷重(5/8)</t>
    <rPh sb="0" eb="2">
      <t>カジュウ</t>
    </rPh>
    <phoneticPr fontId="2"/>
  </si>
  <si>
    <t>金属</t>
    <rPh sb="0" eb="2">
      <t>キンゾク</t>
    </rPh>
    <phoneticPr fontId="2"/>
  </si>
  <si>
    <t>荷重(6/10)、斬耐性</t>
    <rPh sb="0" eb="2">
      <t>カジュウ</t>
    </rPh>
    <rPh sb="9" eb="10">
      <t>ザン</t>
    </rPh>
    <rPh sb="10" eb="12">
      <t>タイセイ</t>
    </rPh>
    <phoneticPr fontId="2"/>
  </si>
  <si>
    <t>荷重(4/8)、交渉：誘惑+2。神官(戦女神)を1レベル以上で交渉判定+2</t>
    <rPh sb="0" eb="2">
      <t>カジュウ</t>
    </rPh>
    <rPh sb="8" eb="10">
      <t>コウショウ</t>
    </rPh>
    <rPh sb="11" eb="13">
      <t>ユウワク</t>
    </rPh>
    <rPh sb="16" eb="18">
      <t>シンカン</t>
    </rPh>
    <rPh sb="19" eb="20">
      <t>イクサ</t>
    </rPh>
    <rPh sb="20" eb="22">
      <t>メガミ</t>
    </rPh>
    <rPh sb="28" eb="30">
      <t>イジョウ</t>
    </rPh>
    <rPh sb="31" eb="33">
      <t>コウショウ</t>
    </rPh>
    <rPh sb="33" eb="35">
      <t>ハンテイ</t>
    </rPh>
    <phoneticPr fontId="2"/>
  </si>
  <si>
    <t>荷重(6/10)</t>
    <rPh sb="0" eb="2">
      <t>カジュウ</t>
    </rPh>
    <phoneticPr fontId="2"/>
  </si>
  <si>
    <t>鎧：重鎧</t>
    <rPh sb="0" eb="1">
      <t>ヨロイ</t>
    </rPh>
    <rPh sb="2" eb="3">
      <t>オモ</t>
    </rPh>
    <rPh sb="3" eb="4">
      <t>ヨロイ</t>
    </rPh>
    <phoneticPr fontId="2"/>
  </si>
  <si>
    <t>荷重(8/14)、斬耐性</t>
    <rPh sb="0" eb="2">
      <t>カジュウ</t>
    </rPh>
    <rPh sb="9" eb="10">
      <t>ザン</t>
    </rPh>
    <rPh sb="10" eb="12">
      <t>タイセイ</t>
    </rPh>
    <phoneticPr fontId="2"/>
  </si>
  <si>
    <t>荷重(6/12)、斬耐性</t>
    <rPh sb="0" eb="2">
      <t>カジュウ</t>
    </rPh>
    <rPh sb="9" eb="10">
      <t>ザン</t>
    </rPh>
    <rPh sb="10" eb="12">
      <t>タイセイ</t>
    </rPh>
    <phoneticPr fontId="2"/>
  </si>
  <si>
    <t>荷重(7/12)、斬耐性</t>
    <rPh sb="0" eb="2">
      <t>カジュウ</t>
    </rPh>
    <rPh sb="9" eb="10">
      <t>ザン</t>
    </rPh>
    <rPh sb="10" eb="12">
      <t>タイセイ</t>
    </rPh>
    <phoneticPr fontId="2"/>
  </si>
  <si>
    <t>荷重(7/14)、斬耐性</t>
    <rPh sb="0" eb="2">
      <t>カジュウ</t>
    </rPh>
    <rPh sb="9" eb="10">
      <t>ザン</t>
    </rPh>
    <rPh sb="10" eb="12">
      <t>タイセイ</t>
    </rPh>
    <phoneticPr fontId="2"/>
  </si>
  <si>
    <t>荷重(9/16)、斬耐性、刺耐性</t>
    <rPh sb="0" eb="2">
      <t>カジュウ</t>
    </rPh>
    <rPh sb="9" eb="10">
      <t>ザン</t>
    </rPh>
    <rPh sb="10" eb="12">
      <t>タイセイ</t>
    </rPh>
    <rPh sb="13" eb="14">
      <t>サ</t>
    </rPh>
    <rPh sb="14" eb="16">
      <t>タイセイ</t>
    </rPh>
    <phoneticPr fontId="2"/>
  </si>
  <si>
    <t>荷重(7/12)、斬耐性、刺耐性</t>
    <rPh sb="0" eb="2">
      <t>カジュウ</t>
    </rPh>
    <rPh sb="9" eb="10">
      <t>ザン</t>
    </rPh>
    <rPh sb="10" eb="12">
      <t>タイセイ</t>
    </rPh>
    <rPh sb="13" eb="14">
      <t>サ</t>
    </rPh>
    <rPh sb="14" eb="16">
      <t>タイセイ</t>
    </rPh>
    <phoneticPr fontId="2"/>
  </si>
  <si>
    <t>副種別</t>
    <rPh sb="0" eb="1">
      <t>フク</t>
    </rPh>
    <rPh sb="1" eb="3">
      <t>シュベツ</t>
    </rPh>
    <phoneticPr fontId="2"/>
  </si>
  <si>
    <t>-</t>
  </si>
  <si>
    <t>木</t>
    <rPh sb="0" eb="1">
      <t>キ</t>
    </rPh>
    <phoneticPr fontId="2"/>
  </si>
  <si>
    <t>木、革</t>
    <rPh sb="0" eb="1">
      <t>キ</t>
    </rPh>
    <rPh sb="2" eb="3">
      <t>カワ</t>
    </rPh>
    <phoneticPr fontId="2"/>
  </si>
  <si>
    <t>木、金属</t>
    <rPh sb="0" eb="1">
      <t>キ</t>
    </rPh>
    <rPh sb="2" eb="4">
      <t>キンゾク</t>
    </rPh>
    <phoneticPr fontId="2"/>
  </si>
  <si>
    <t>馬上中受け流し(+1)</t>
    <rPh sb="0" eb="2">
      <t>バジョウ</t>
    </rPh>
    <rPh sb="2" eb="3">
      <t>チュウ</t>
    </rPh>
    <rPh sb="3" eb="4">
      <t>ウ</t>
    </rPh>
    <rPh sb="5" eb="6">
      <t>ナガ</t>
    </rPh>
    <phoneticPr fontId="2"/>
  </si>
  <si>
    <t>馬上中受け流し(+2)</t>
    <rPh sb="0" eb="2">
      <t>バジョウ</t>
    </rPh>
    <rPh sb="2" eb="3">
      <t>チュウ</t>
    </rPh>
    <rPh sb="3" eb="4">
      <t>ウ</t>
    </rPh>
    <rPh sb="5" eb="6">
      <t>ナガ</t>
    </rPh>
    <phoneticPr fontId="2"/>
  </si>
  <si>
    <t>木、龍麟</t>
    <rPh sb="0" eb="1">
      <t>キ</t>
    </rPh>
    <rPh sb="2" eb="3">
      <t>リュウ</t>
    </rPh>
    <rPh sb="3" eb="4">
      <t>リン</t>
    </rPh>
    <phoneticPr fontId="2"/>
  </si>
  <si>
    <t>受け流し(+1)、呪文に対する装甲+4</t>
    <rPh sb="0" eb="1">
      <t>ウ</t>
    </rPh>
    <rPh sb="2" eb="3">
      <t>ナガ</t>
    </rPh>
    <rPh sb="9" eb="11">
      <t>ジュモン</t>
    </rPh>
    <rPh sb="12" eb="13">
      <t>タイ</t>
    </rPh>
    <rPh sb="15" eb="17">
      <t>ソウコウ</t>
    </rPh>
    <phoneticPr fontId="2"/>
  </si>
  <si>
    <t>水、生命</t>
    <rPh sb="0" eb="1">
      <t>ミズ</t>
    </rPh>
    <rPh sb="2" eb="4">
      <t>セイメイ</t>
    </rPh>
    <phoneticPr fontId="2"/>
  </si>
  <si>
    <t>1d3</t>
    <phoneticPr fontId="2"/>
  </si>
  <si>
    <t>1d6</t>
    <phoneticPr fontId="2"/>
  </si>
  <si>
    <t>鉄の拳</t>
    <rPh sb="0" eb="1">
      <t>テツ</t>
    </rPh>
    <rPh sb="2" eb="3">
      <t>コブシ</t>
    </rPh>
    <phoneticPr fontId="2"/>
  </si>
  <si>
    <t>発勁</t>
    <phoneticPr fontId="2"/>
  </si>
  <si>
    <t>技能表示</t>
    <rPh sb="0" eb="2">
      <t>ギノウ</t>
    </rPh>
    <rPh sb="2" eb="4">
      <t>ヒョウジ</t>
    </rPh>
    <phoneticPr fontId="2"/>
  </si>
  <si>
    <t>武器：弩弓：初歩</t>
    <rPh sb="0" eb="2">
      <t>ブキ</t>
    </rPh>
    <rPh sb="3" eb="4">
      <t>ド</t>
    </rPh>
    <rPh sb="4" eb="5">
      <t>キュウ</t>
    </rPh>
    <rPh sb="6" eb="8">
      <t>ショホ</t>
    </rPh>
    <phoneticPr fontId="2"/>
  </si>
  <si>
    <t>--</t>
  </si>
  <si>
    <t>創造呪文</t>
  </si>
  <si>
    <t>光</t>
  </si>
  <si>
    <t>汎用呪文</t>
  </si>
  <si>
    <t>精神</t>
  </si>
  <si>
    <t>支配呪文</t>
  </si>
  <si>
    <t>付与呪文</t>
  </si>
  <si>
    <t>風</t>
  </si>
  <si>
    <t>生命</t>
  </si>
  <si>
    <t>攻撃呪文</t>
  </si>
  <si>
    <t>火</t>
  </si>
  <si>
    <t>時間</t>
  </si>
  <si>
    <t>空間</t>
  </si>
  <si>
    <t>水、風</t>
  </si>
  <si>
    <t>水</t>
  </si>
  <si>
    <t>物質</t>
  </si>
  <si>
    <t>治癒呪文</t>
  </si>
  <si>
    <t>生命、精神、物質、空間</t>
  </si>
  <si>
    <t>物質、生命</t>
  </si>
  <si>
    <t>土、生命</t>
  </si>
  <si>
    <t>火、闇、生命</t>
  </si>
  <si>
    <t>風、時間</t>
  </si>
  <si>
    <t>闇</t>
  </si>
  <si>
    <t>土</t>
  </si>
  <si>
    <t>水、土</t>
  </si>
  <si>
    <t>火、水、土、風、物質</t>
  </si>
  <si>
    <t>水、精神</t>
  </si>
  <si>
    <t>火、水、土、風、光、闇</t>
  </si>
  <si>
    <t>風、精神</t>
  </si>
  <si>
    <t>竜息（火）</t>
    <rPh sb="0" eb="1">
      <t>リュウ</t>
    </rPh>
    <rPh sb="1" eb="2">
      <t>イキ</t>
    </rPh>
    <rPh sb="3" eb="4">
      <t>ヒ</t>
    </rPh>
    <phoneticPr fontId="2"/>
  </si>
  <si>
    <t>竜息（稲妻）</t>
    <rPh sb="0" eb="1">
      <t>リュウ</t>
    </rPh>
    <rPh sb="1" eb="2">
      <t>イキ</t>
    </rPh>
    <rPh sb="3" eb="5">
      <t>イナヅマ</t>
    </rPh>
    <phoneticPr fontId="2"/>
  </si>
  <si>
    <t>竜息（氷）</t>
    <rPh sb="0" eb="1">
      <t>リュウ</t>
    </rPh>
    <rPh sb="1" eb="2">
      <t>イキ</t>
    </rPh>
    <rPh sb="3" eb="4">
      <t>コオリ</t>
    </rPh>
    <phoneticPr fontId="2"/>
  </si>
  <si>
    <t>竜息（毒）</t>
    <rPh sb="0" eb="1">
      <t>リュウ</t>
    </rPh>
    <rPh sb="1" eb="2">
      <t>イキ</t>
    </rPh>
    <rPh sb="3" eb="4">
      <t>ドク</t>
    </rPh>
    <phoneticPr fontId="2"/>
  </si>
  <si>
    <t>水</t>
    <rPh sb="0" eb="1">
      <t>ミズ</t>
    </rPh>
    <phoneticPr fontId="2"/>
  </si>
  <si>
    <t>闇</t>
    <rPh sb="0" eb="1">
      <t>ヤミ</t>
    </rPh>
    <phoneticPr fontId="2"/>
  </si>
  <si>
    <t>投石紐（店石）</t>
    <rPh sb="4" eb="5">
      <t>ミセ</t>
    </rPh>
    <rPh sb="5" eb="6">
      <t>イシ</t>
    </rPh>
    <phoneticPr fontId="2"/>
  </si>
  <si>
    <t>投石杖（店石）</t>
  </si>
  <si>
    <t>投石杖（店石）</t>
    <phoneticPr fontId="2"/>
  </si>
  <si>
    <t>石弾（店石）</t>
    <rPh sb="0" eb="1">
      <t>イシ</t>
    </rPh>
    <rPh sb="1" eb="2">
      <t>タマ</t>
    </rPh>
    <rPh sb="3" eb="4">
      <t>ミセ</t>
    </rPh>
    <rPh sb="4" eb="5">
      <t>イシ</t>
    </rPh>
    <phoneticPr fontId="2"/>
  </si>
  <si>
    <t>◆石弾（店石）</t>
    <rPh sb="1" eb="2">
      <t>セキ</t>
    </rPh>
    <rPh sb="2" eb="3">
      <t>ダン</t>
    </rPh>
    <rPh sb="4" eb="6">
      <t>ミセイシ</t>
    </rPh>
    <phoneticPr fontId="2"/>
  </si>
  <si>
    <t>石弾（店石）</t>
    <rPh sb="3" eb="5">
      <t>ミセイシ</t>
    </rPh>
    <phoneticPr fontId="2"/>
  </si>
  <si>
    <t>石弾（店石）：10</t>
    <rPh sb="0" eb="1">
      <t>イシ</t>
    </rPh>
    <rPh sb="1" eb="2">
      <t>タマ</t>
    </rPh>
    <phoneticPr fontId="2"/>
  </si>
  <si>
    <t>　◆石弾（店石）</t>
    <rPh sb="2" eb="3">
      <t>セキ</t>
    </rPh>
    <rPh sb="3" eb="4">
      <t>ダン</t>
    </rPh>
    <rPh sb="5" eb="7">
      <t>ミセイシ</t>
    </rPh>
    <phoneticPr fontId="2"/>
  </si>
  <si>
    <t>銀の矢</t>
    <rPh sb="2" eb="3">
      <t>ヤ</t>
    </rPh>
    <phoneticPr fontId="2"/>
  </si>
  <si>
    <t>芸能：即興詩</t>
    <rPh sb="0" eb="2">
      <t>ゲイノウ</t>
    </rPh>
    <rPh sb="3" eb="5">
      <t>ソッキョウ</t>
    </rPh>
    <rPh sb="5" eb="6">
      <t>シ</t>
    </rPh>
    <phoneticPr fontId="2"/>
  </si>
  <si>
    <t>芸能：即興詩：初歩</t>
    <rPh sb="3" eb="5">
      <t>ソッキョウ</t>
    </rPh>
    <rPh sb="5" eb="6">
      <t>シ</t>
    </rPh>
    <phoneticPr fontId="2"/>
  </si>
  <si>
    <t>芸能：即興詩：習熟</t>
    <phoneticPr fontId="2"/>
  </si>
  <si>
    <t>芸能：即興詩：熟練</t>
    <phoneticPr fontId="2"/>
  </si>
  <si>
    <t>値段</t>
    <rPh sb="0" eb="2">
      <t>ネダン</t>
    </rPh>
    <phoneticPr fontId="2"/>
  </si>
  <si>
    <t>冒険者ツール(鈎縄10m、楔10個、小槌、火口箱、背負い袋、携帯用食器、水袋、白墨、小刀、松明(6本))</t>
    <rPh sb="0" eb="3">
      <t>ボウケンシャ</t>
    </rPh>
    <rPh sb="7" eb="8">
      <t>カギ</t>
    </rPh>
    <rPh sb="8" eb="9">
      <t>ナワ</t>
    </rPh>
    <rPh sb="13" eb="14">
      <t>クサビ</t>
    </rPh>
    <rPh sb="16" eb="17">
      <t>コ</t>
    </rPh>
    <rPh sb="18" eb="20">
      <t>コヅチ</t>
    </rPh>
    <rPh sb="21" eb="22">
      <t>ヒ</t>
    </rPh>
    <rPh sb="22" eb="23">
      <t>クチ</t>
    </rPh>
    <rPh sb="23" eb="24">
      <t>バコ</t>
    </rPh>
    <rPh sb="25" eb="27">
      <t>セオ</t>
    </rPh>
    <rPh sb="28" eb="29">
      <t>ブクロ</t>
    </rPh>
    <rPh sb="30" eb="33">
      <t>ケイタイヨウ</t>
    </rPh>
    <rPh sb="33" eb="35">
      <t>ショッキ</t>
    </rPh>
    <rPh sb="36" eb="37">
      <t>ミズ</t>
    </rPh>
    <rPh sb="39" eb="41">
      <t>ハクボク</t>
    </rPh>
    <rPh sb="42" eb="44">
      <t>コガタナ</t>
    </rPh>
    <rPh sb="45" eb="47">
      <t>タイマツ</t>
    </rPh>
    <rPh sb="49" eb="50">
      <t>ホン</t>
    </rPh>
    <phoneticPr fontId="2"/>
  </si>
  <si>
    <t>罠師道具：5</t>
    <rPh sb="0" eb="1">
      <t>ワナ</t>
    </rPh>
    <rPh sb="1" eb="2">
      <t>シ</t>
    </rPh>
    <rPh sb="2" eb="4">
      <t>ドウグ</t>
    </rPh>
    <phoneticPr fontId="2"/>
  </si>
  <si>
    <t>職人道具：鍛冶</t>
  </si>
  <si>
    <t>職人道具：裁縫</t>
  </si>
  <si>
    <t>職人道具：木工</t>
  </si>
  <si>
    <t>職人道具：革細工</t>
  </si>
  <si>
    <t>職人道具：彫金</t>
  </si>
  <si>
    <t>蝋燭：12</t>
    <rPh sb="0" eb="2">
      <t>ロウソク</t>
    </rPh>
    <phoneticPr fontId="2"/>
  </si>
  <si>
    <t>冬季用寝袋</t>
    <rPh sb="0" eb="3">
      <t>トウキヨウ</t>
    </rPh>
    <rPh sb="3" eb="4">
      <t>ネ</t>
    </rPh>
    <rPh sb="4" eb="5">
      <t>ブクロ</t>
    </rPh>
    <phoneticPr fontId="2"/>
  </si>
  <si>
    <t>円匙</t>
    <rPh sb="0" eb="1">
      <t>エン</t>
    </rPh>
    <rPh sb="1" eb="2">
      <t>サジ</t>
    </rPh>
    <phoneticPr fontId="2"/>
  </si>
  <si>
    <t>強打・殴(+0)</t>
    <rPh sb="0" eb="2">
      <t>キョウダ</t>
    </rPh>
    <rPh sb="3" eb="4">
      <t>ナグ</t>
    </rPh>
    <phoneticPr fontId="2"/>
  </si>
  <si>
    <t>松明</t>
    <rPh sb="0" eb="2">
      <t>タイマツ</t>
    </rPh>
    <phoneticPr fontId="2"/>
  </si>
  <si>
    <t>楔：10</t>
    <rPh sb="0" eb="1">
      <t>クサビ</t>
    </rPh>
    <phoneticPr fontId="2"/>
  </si>
  <si>
    <t>パピルス紙：10</t>
    <rPh sb="4" eb="5">
      <t>シ</t>
    </rPh>
    <phoneticPr fontId="2"/>
  </si>
  <si>
    <t>楽器：ヴァイオリン</t>
    <rPh sb="0" eb="2">
      <t>ガッキ</t>
    </rPh>
    <phoneticPr fontId="2"/>
  </si>
  <si>
    <t>楽器：ドラム</t>
    <rPh sb="0" eb="2">
      <t>ガッキ</t>
    </rPh>
    <phoneticPr fontId="2"/>
  </si>
  <si>
    <t>楽器：フルート</t>
    <rPh sb="0" eb="2">
      <t>ガッキ</t>
    </rPh>
    <phoneticPr fontId="2"/>
  </si>
  <si>
    <t>楽器：ホルン</t>
    <rPh sb="0" eb="2">
      <t>ガッキ</t>
    </rPh>
    <phoneticPr fontId="2"/>
  </si>
  <si>
    <t>楽器：リュート</t>
    <rPh sb="0" eb="2">
      <t>ガッキ</t>
    </rPh>
    <phoneticPr fontId="2"/>
  </si>
  <si>
    <t>楽器：草笛</t>
    <rPh sb="0" eb="2">
      <t>ガッキ</t>
    </rPh>
    <rPh sb="3" eb="5">
      <t>クサブエ</t>
    </rPh>
    <phoneticPr fontId="2"/>
  </si>
  <si>
    <t>鈎縄：10</t>
    <rPh sb="0" eb="1">
      <t>カギ</t>
    </rPh>
    <rPh sb="1" eb="2">
      <t>ナワ</t>
    </rPh>
    <phoneticPr fontId="2"/>
  </si>
  <si>
    <t>酒類：火酒</t>
    <rPh sb="0" eb="2">
      <t>サケルイ</t>
    </rPh>
    <rPh sb="3" eb="4">
      <t>ヒ</t>
    </rPh>
    <rPh sb="4" eb="5">
      <t>サケ</t>
    </rPh>
    <phoneticPr fontId="2"/>
  </si>
  <si>
    <t>酒類：麦酒</t>
    <rPh sb="0" eb="2">
      <t>サケルイ</t>
    </rPh>
    <rPh sb="3" eb="4">
      <t>ムギ</t>
    </rPh>
    <rPh sb="4" eb="5">
      <t>サケ</t>
    </rPh>
    <phoneticPr fontId="2"/>
  </si>
  <si>
    <t>酒類：葡萄酒</t>
    <rPh sb="0" eb="2">
      <t>サケルイ</t>
    </rPh>
    <rPh sb="3" eb="6">
      <t>ブドウシュ</t>
    </rPh>
    <phoneticPr fontId="2"/>
  </si>
  <si>
    <t>酒類：蒸留酒</t>
    <rPh sb="0" eb="2">
      <t>サケルイ</t>
    </rPh>
    <rPh sb="3" eb="6">
      <t>ジョウリュウシュ</t>
    </rPh>
    <phoneticPr fontId="2"/>
  </si>
  <si>
    <t>調味料セット</t>
    <rPh sb="0" eb="3">
      <t>チョウミリョウ</t>
    </rPh>
    <phoneticPr fontId="2"/>
  </si>
  <si>
    <t>香辛料</t>
    <rPh sb="0" eb="3">
      <t>コウシンリョウ</t>
    </rPh>
    <phoneticPr fontId="2"/>
  </si>
  <si>
    <t>化膿止めの軟膏：5</t>
    <rPh sb="0" eb="2">
      <t>カノウ</t>
    </rPh>
    <rPh sb="2" eb="3">
      <t>ド</t>
    </rPh>
    <rPh sb="5" eb="7">
      <t>ナンコウ</t>
    </rPh>
    <phoneticPr fontId="2"/>
  </si>
  <si>
    <t>竜の鱗</t>
    <rPh sb="0" eb="1">
      <t>リュウ</t>
    </rPh>
    <rPh sb="2" eb="3">
      <t>ウロコ</t>
    </rPh>
    <phoneticPr fontId="2"/>
  </si>
  <si>
    <t>ロープ：10</t>
  </si>
  <si>
    <t>その他の所持品：購入品(1)</t>
    <rPh sb="8" eb="11">
      <t>コウニュウヒン</t>
    </rPh>
    <phoneticPr fontId="2"/>
  </si>
  <si>
    <t>その他の所持品：購入品(2)</t>
    <rPh sb="8" eb="11">
      <t>コウニュウヒン</t>
    </rPh>
    <phoneticPr fontId="2"/>
  </si>
  <si>
    <t>その他の所持品：購入品(3)</t>
    <rPh sb="8" eb="11">
      <t>コウニュウヒン</t>
    </rPh>
    <phoneticPr fontId="2"/>
  </si>
  <si>
    <t>その他の所持品：購入品(4)</t>
    <rPh sb="8" eb="11">
      <t>コウニュウヒン</t>
    </rPh>
    <phoneticPr fontId="2"/>
  </si>
  <si>
    <t>その他の所持品：購入品(5)</t>
    <rPh sb="8" eb="11">
      <t>コウニュウヒン</t>
    </rPh>
    <phoneticPr fontId="2"/>
  </si>
  <si>
    <t>その他の所持品：購入品(6)</t>
    <rPh sb="8" eb="11">
      <t>コウニュウヒン</t>
    </rPh>
    <phoneticPr fontId="2"/>
  </si>
  <si>
    <t>その他の所持品：購入品(7)</t>
    <rPh sb="8" eb="11">
      <t>コウニュウヒン</t>
    </rPh>
    <phoneticPr fontId="2"/>
  </si>
  <si>
    <t>その他の所持品：購入品(8)</t>
    <rPh sb="8" eb="11">
      <t>コウニュウヒン</t>
    </rPh>
    <phoneticPr fontId="2"/>
  </si>
  <si>
    <t>価格</t>
    <rPh sb="0" eb="2">
      <t>カカク</t>
    </rPh>
    <phoneticPr fontId="2"/>
  </si>
  <si>
    <t>その他の所持品：購入品(9)</t>
    <rPh sb="8" eb="11">
      <t>コウニュウヒン</t>
    </rPh>
    <phoneticPr fontId="2"/>
  </si>
  <si>
    <t>武器(1)の入手手段</t>
    <rPh sb="0" eb="2">
      <t>ブキ</t>
    </rPh>
    <rPh sb="6" eb="8">
      <t>ニュウシュ</t>
    </rPh>
    <rPh sb="8" eb="10">
      <t>シュダン</t>
    </rPh>
    <phoneticPr fontId="2"/>
  </si>
  <si>
    <t>入手手段</t>
    <rPh sb="0" eb="2">
      <t>ニュウシュ</t>
    </rPh>
    <rPh sb="2" eb="4">
      <t>シュダン</t>
    </rPh>
    <phoneticPr fontId="2"/>
  </si>
  <si>
    <t>購入</t>
    <rPh sb="0" eb="2">
      <t>コウニュウ</t>
    </rPh>
    <phoneticPr fontId="2"/>
  </si>
  <si>
    <t>拾得</t>
    <rPh sb="0" eb="2">
      <t>シュウトク</t>
    </rPh>
    <phoneticPr fontId="2"/>
  </si>
  <si>
    <t>武器(2)の入手手段</t>
    <rPh sb="0" eb="2">
      <t>ブキ</t>
    </rPh>
    <rPh sb="6" eb="8">
      <t>ニュウシュ</t>
    </rPh>
    <rPh sb="8" eb="10">
      <t>シュダン</t>
    </rPh>
    <phoneticPr fontId="2"/>
  </si>
  <si>
    <t>武器(3)の入手手段</t>
    <rPh sb="0" eb="2">
      <t>ブキ</t>
    </rPh>
    <rPh sb="6" eb="8">
      <t>ニュウシュ</t>
    </rPh>
    <rPh sb="8" eb="10">
      <t>シュダン</t>
    </rPh>
    <phoneticPr fontId="2"/>
  </si>
  <si>
    <t>武器(4)の入手手段</t>
    <rPh sb="0" eb="2">
      <t>ブキ</t>
    </rPh>
    <rPh sb="6" eb="8">
      <t>ニュウシュ</t>
    </rPh>
    <rPh sb="8" eb="10">
      <t>シュダン</t>
    </rPh>
    <phoneticPr fontId="2"/>
  </si>
  <si>
    <t>武器(5)の入手手段</t>
    <rPh sb="0" eb="2">
      <t>ブキ</t>
    </rPh>
    <rPh sb="6" eb="8">
      <t>ニュウシュ</t>
    </rPh>
    <rPh sb="8" eb="10">
      <t>シュダン</t>
    </rPh>
    <phoneticPr fontId="2"/>
  </si>
  <si>
    <t>武器(6)の入手手段</t>
    <rPh sb="0" eb="2">
      <t>ブキ</t>
    </rPh>
    <rPh sb="6" eb="8">
      <t>ニュウシュ</t>
    </rPh>
    <rPh sb="8" eb="10">
      <t>シュダン</t>
    </rPh>
    <phoneticPr fontId="2"/>
  </si>
  <si>
    <t>鎧の入手手段</t>
    <rPh sb="0" eb="1">
      <t>ヨロイ</t>
    </rPh>
    <rPh sb="2" eb="4">
      <t>ニュウシュ</t>
    </rPh>
    <rPh sb="4" eb="6">
      <t>シュダン</t>
    </rPh>
    <phoneticPr fontId="2"/>
  </si>
  <si>
    <t>盾の入手手段</t>
    <rPh sb="0" eb="1">
      <t>タテ</t>
    </rPh>
    <rPh sb="2" eb="4">
      <t>ニュウシュ</t>
    </rPh>
    <rPh sb="4" eb="6">
      <t>シュダン</t>
    </rPh>
    <phoneticPr fontId="2"/>
  </si>
  <si>
    <t>◆状態</t>
    <rPh sb="1" eb="3">
      <t>ジョウタイ</t>
    </rPh>
    <phoneticPr fontId="2"/>
  </si>
  <si>
    <t>移動力ボーナス</t>
    <rPh sb="0" eb="2">
      <t>イドウ</t>
    </rPh>
    <rPh sb="2" eb="3">
      <t>リョク</t>
    </rPh>
    <phoneticPr fontId="2"/>
  </si>
  <si>
    <t>※毎ラウンド消耗時は、手動で追加消耗を増やす。カウンター回復で消耗が回復した分も手動で追加消耗を増やす。</t>
    <rPh sb="1" eb="2">
      <t>マイ</t>
    </rPh>
    <rPh sb="6" eb="8">
      <t>ショウモウ</t>
    </rPh>
    <rPh sb="8" eb="9">
      <t>ジ</t>
    </rPh>
    <rPh sb="9" eb="10">
      <t>セイジ</t>
    </rPh>
    <rPh sb="11" eb="13">
      <t>シュドウ</t>
    </rPh>
    <rPh sb="14" eb="16">
      <t>ツイカ</t>
    </rPh>
    <rPh sb="16" eb="18">
      <t>ショウモウ</t>
    </rPh>
    <rPh sb="19" eb="20">
      <t>フ</t>
    </rPh>
    <rPh sb="28" eb="30">
      <t>カイフク</t>
    </rPh>
    <rPh sb="31" eb="33">
      <t>ショウモウ</t>
    </rPh>
    <rPh sb="34" eb="36">
      <t>カイフク</t>
    </rPh>
    <rPh sb="38" eb="39">
      <t>ブン</t>
    </rPh>
    <rPh sb="40" eb="42">
      <t>シュドウ</t>
    </rPh>
    <rPh sb="43" eb="45">
      <t>ツイカ</t>
    </rPh>
    <rPh sb="45" eb="47">
      <t>ショウモウ</t>
    </rPh>
    <rPh sb="48" eb="49">
      <t>フ</t>
    </rPh>
    <phoneticPr fontId="2"/>
  </si>
  <si>
    <t>効力値</t>
    <rPh sb="0" eb="2">
      <t>コウリョク</t>
    </rPh>
    <rPh sb="2" eb="3">
      <t>チ</t>
    </rPh>
    <phoneticPr fontId="2"/>
  </si>
  <si>
    <t>１時間</t>
    <rPh sb="1" eb="3">
      <t>ジカン</t>
    </rPh>
    <phoneticPr fontId="2"/>
  </si>
  <si>
    <t>10分</t>
    <rPh sb="2" eb="3">
      <t>フン</t>
    </rPh>
    <phoneticPr fontId="2"/>
  </si>
  <si>
    <t>倍率</t>
    <rPh sb="0" eb="2">
      <t>バイリツ</t>
    </rPh>
    <phoneticPr fontId="2"/>
  </si>
  <si>
    <t>～９</t>
    <phoneticPr fontId="2"/>
  </si>
  <si>
    <t>１０～１４</t>
    <phoneticPr fontId="2"/>
  </si>
  <si>
    <t>１５～１９</t>
    <phoneticPr fontId="2"/>
  </si>
  <si>
    <t>２０～２４</t>
    <phoneticPr fontId="2"/>
  </si>
  <si>
    <t>２５～３０</t>
    <phoneticPr fontId="2"/>
  </si>
  <si>
    <t>３０～３９</t>
    <phoneticPr fontId="2"/>
  </si>
  <si>
    <t>４０～</t>
    <phoneticPr fontId="2"/>
  </si>
  <si>
    <t>街道移動</t>
    <rPh sb="0" eb="2">
      <t>カイドウ</t>
    </rPh>
    <rPh sb="2" eb="4">
      <t>イドウ</t>
    </rPh>
    <phoneticPr fontId="2"/>
  </si>
  <si>
    <t>荒野移動</t>
    <rPh sb="0" eb="2">
      <t>コウヤ</t>
    </rPh>
    <rPh sb="2" eb="4">
      <t>イドウ</t>
    </rPh>
    <phoneticPr fontId="2"/>
  </si>
  <si>
    <t>警戒移動</t>
    <rPh sb="0" eb="2">
      <t>ケイカイ</t>
    </rPh>
    <rPh sb="2" eb="4">
      <t>イドウ</t>
    </rPh>
    <phoneticPr fontId="2"/>
  </si>
  <si>
    <t>10分倍率</t>
    <rPh sb="2" eb="3">
      <t>フン</t>
    </rPh>
    <rPh sb="3" eb="5">
      <t>バイリツ</t>
    </rPh>
    <phoneticPr fontId="2"/>
  </si>
  <si>
    <t>騎乗</t>
    <rPh sb="0" eb="2">
      <t>キジョウ</t>
    </rPh>
    <phoneticPr fontId="2"/>
  </si>
  <si>
    <t>騎乗</t>
    <rPh sb="0" eb="2">
      <t>キジョウ</t>
    </rPh>
    <phoneticPr fontId="2"/>
  </si>
  <si>
    <t>軍馬</t>
    <rPh sb="0" eb="2">
      <t>グンバ</t>
    </rPh>
    <phoneticPr fontId="2"/>
  </si>
  <si>
    <t>乗用馬</t>
    <rPh sb="0" eb="2">
      <t>ジョウヨウ</t>
    </rPh>
    <rPh sb="2" eb="3">
      <t>バ</t>
    </rPh>
    <phoneticPr fontId="2"/>
  </si>
  <si>
    <t>ロバ</t>
    <phoneticPr fontId="2"/>
  </si>
  <si>
    <t>馬車</t>
    <rPh sb="0" eb="2">
      <t>バシャ</t>
    </rPh>
    <phoneticPr fontId="2"/>
  </si>
  <si>
    <t>移動力</t>
    <rPh sb="0" eb="2">
      <t>イドウ</t>
    </rPh>
    <rPh sb="2" eb="3">
      <t>リョク</t>
    </rPh>
    <phoneticPr fontId="2"/>
  </si>
  <si>
    <t>騎乗移動力</t>
    <rPh sb="0" eb="2">
      <t>キジョウ</t>
    </rPh>
    <rPh sb="2" eb="4">
      <t>イドウ</t>
    </rPh>
    <rPh sb="4" eb="5">
      <t>リョク</t>
    </rPh>
    <phoneticPr fontId="2"/>
  </si>
  <si>
    <t>なし</t>
    <phoneticPr fontId="2"/>
  </si>
  <si>
    <t>騎乗街道</t>
    <rPh sb="0" eb="2">
      <t>キジョウ</t>
    </rPh>
    <rPh sb="2" eb="4">
      <t>カイドウ</t>
    </rPh>
    <phoneticPr fontId="2"/>
  </si>
  <si>
    <t>騎乗荒野</t>
    <rPh sb="0" eb="2">
      <t>キジョウ</t>
    </rPh>
    <rPh sb="2" eb="4">
      <t>コウヤ</t>
    </rPh>
    <phoneticPr fontId="2"/>
  </si>
  <si>
    <t>黄金の蜂蜜酒</t>
    <rPh sb="0" eb="2">
      <t>オウゴン</t>
    </rPh>
    <rPh sb="3" eb="5">
      <t>ハチミツ</t>
    </rPh>
    <rPh sb="5" eb="6">
      <t>シュ</t>
    </rPh>
    <phoneticPr fontId="2"/>
  </si>
  <si>
    <t>蜂蜜</t>
    <rPh sb="0" eb="2">
      <t>ハチミツ</t>
    </rPh>
    <phoneticPr fontId="2"/>
  </si>
  <si>
    <t>巨大鼠の尻尾</t>
    <rPh sb="0" eb="2">
      <t>キョダイ</t>
    </rPh>
    <rPh sb="2" eb="3">
      <t>ネズミ</t>
    </rPh>
    <rPh sb="4" eb="6">
      <t>シッポ</t>
    </rPh>
    <phoneticPr fontId="2"/>
  </si>
  <si>
    <t>巨大鼠の尻尾x2</t>
    <rPh sb="0" eb="2">
      <t>キョダイ</t>
    </rPh>
    <rPh sb="2" eb="3">
      <t>ネズミ</t>
    </rPh>
    <rPh sb="4" eb="6">
      <t>シッポ</t>
    </rPh>
    <phoneticPr fontId="2"/>
  </si>
  <si>
    <t>巨大鼠の尻尾x3</t>
    <rPh sb="0" eb="2">
      <t>キョダイ</t>
    </rPh>
    <rPh sb="2" eb="3">
      <t>ネズミ</t>
    </rPh>
    <rPh sb="4" eb="6">
      <t>シッポ</t>
    </rPh>
    <phoneticPr fontId="2"/>
  </si>
  <si>
    <t>巨大鼠の尻尾x4</t>
    <rPh sb="0" eb="2">
      <t>キョダイ</t>
    </rPh>
    <rPh sb="2" eb="3">
      <t>ネズミ</t>
    </rPh>
    <rPh sb="4" eb="6">
      <t>シッポ</t>
    </rPh>
    <phoneticPr fontId="2"/>
  </si>
  <si>
    <t>巨大鼠の尻尾x5</t>
    <rPh sb="0" eb="2">
      <t>キョダイ</t>
    </rPh>
    <rPh sb="2" eb="3">
      <t>ネズミ</t>
    </rPh>
    <rPh sb="4" eb="6">
      <t>シッポ</t>
    </rPh>
    <phoneticPr fontId="2"/>
  </si>
  <si>
    <t>5,6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</si>
</sst>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rgb="FF000000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11"/>
      <color theme="1"/>
      <name val="Wingdings"/>
      <charset val="2"/>
    </font>
    <font>
      <sz val="11"/>
      <color theme="1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38" fontId="0" fillId="0" borderId="0" xfId="0" applyNumberFormat="1">
      <alignment vertical="center"/>
    </xf>
    <xf numFmtId="38" fontId="0" fillId="0" borderId="0" xfId="1" applyFont="1">
      <alignment vertical="center"/>
    </xf>
    <xf numFmtId="0" fontId="0" fillId="0" borderId="0" xfId="0" applyAlignment="1">
      <alignment vertical="center" wrapText="1"/>
    </xf>
    <xf numFmtId="0" fontId="6" fillId="0" borderId="0" xfId="0" applyFont="1">
      <alignment vertical="center"/>
    </xf>
    <xf numFmtId="0" fontId="6" fillId="0" borderId="0" xfId="0" applyFont="1" applyBorder="1">
      <alignment vertical="center"/>
    </xf>
    <xf numFmtId="0" fontId="7" fillId="0" borderId="0" xfId="0" applyFont="1">
      <alignment vertical="center"/>
    </xf>
    <xf numFmtId="0" fontId="6" fillId="0" borderId="0" xfId="0" applyFont="1" applyFill="1" applyBorder="1">
      <alignment vertical="center"/>
    </xf>
    <xf numFmtId="38" fontId="6" fillId="0" borderId="0" xfId="1" applyFont="1" applyFill="1" applyBorder="1">
      <alignment vertical="center"/>
    </xf>
    <xf numFmtId="38" fontId="6" fillId="0" borderId="0" xfId="0" applyNumberFormat="1" applyFont="1">
      <alignment vertical="center"/>
    </xf>
    <xf numFmtId="0" fontId="6" fillId="0" borderId="0" xfId="0" applyFont="1" applyAlignment="1">
      <alignment horizontal="right" vertical="center"/>
    </xf>
    <xf numFmtId="0" fontId="8" fillId="0" borderId="0" xfId="0" applyFont="1">
      <alignment vertical="center"/>
    </xf>
    <xf numFmtId="0" fontId="9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0" fillId="0" borderId="0" xfId="0" quotePrefix="1">
      <alignment vertical="center"/>
    </xf>
    <xf numFmtId="0" fontId="0" fillId="0" borderId="0" xfId="0" applyAlignment="1">
      <alignment horizontal="left"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0" fillId="0" borderId="0" xfId="0" applyFont="1" applyAlignment="1">
      <alignment vertical="top" wrapText="1"/>
    </xf>
    <xf numFmtId="0" fontId="8" fillId="0" borderId="0" xfId="0" applyFont="1" applyAlignment="1">
      <alignment horizontal="right" vertical="center"/>
    </xf>
    <xf numFmtId="0" fontId="14" fillId="0" borderId="0" xfId="0" applyFont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0" fontId="15" fillId="2" borderId="1" xfId="0" applyFont="1" applyFill="1" applyBorder="1" applyAlignment="1">
      <alignment horizontal="right"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1" xfId="0" applyFont="1" applyFill="1" applyBorder="1">
      <alignment vertical="center"/>
    </xf>
    <xf numFmtId="0" fontId="0" fillId="3" borderId="1" xfId="0" applyFill="1" applyBorder="1" applyAlignment="1">
      <alignment horizontal="right" vertic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>
      <alignment vertical="center"/>
    </xf>
    <xf numFmtId="0" fontId="0" fillId="4" borderId="1" xfId="0" applyFill="1" applyBorder="1" applyAlignment="1">
      <alignment horizontal="right" vertical="center"/>
    </xf>
    <xf numFmtId="0" fontId="0" fillId="4" borderId="1" xfId="0" applyFill="1" applyBorder="1" applyAlignment="1">
      <alignment horizontal="left" vertical="center"/>
    </xf>
    <xf numFmtId="0" fontId="0" fillId="4" borderId="1" xfId="0" applyFill="1" applyBorder="1">
      <alignment vertical="center"/>
    </xf>
    <xf numFmtId="0" fontId="0" fillId="5" borderId="1" xfId="0" applyFill="1" applyBorder="1" applyAlignment="1">
      <alignment horizontal="right" vertical="center"/>
    </xf>
    <xf numFmtId="0" fontId="0" fillId="5" borderId="1" xfId="0" applyFill="1" applyBorder="1" applyAlignment="1">
      <alignment horizontal="left" vertical="center"/>
    </xf>
    <xf numFmtId="0" fontId="0" fillId="5" borderId="1" xfId="0" applyFill="1" applyBorder="1">
      <alignment vertical="center"/>
    </xf>
    <xf numFmtId="0" fontId="0" fillId="6" borderId="1" xfId="0" applyFill="1" applyBorder="1" applyAlignment="1">
      <alignment horizontal="right" vertical="center"/>
    </xf>
    <xf numFmtId="0" fontId="0" fillId="6" borderId="1" xfId="0" applyFill="1" applyBorder="1" applyAlignment="1">
      <alignment horizontal="left" vertical="center"/>
    </xf>
    <xf numFmtId="0" fontId="0" fillId="6" borderId="1" xfId="0" applyFill="1" applyBorder="1">
      <alignment vertical="center"/>
    </xf>
    <xf numFmtId="0" fontId="0" fillId="7" borderId="1" xfId="0" applyFill="1" applyBorder="1" applyAlignment="1">
      <alignment horizontal="right" vertical="center"/>
    </xf>
    <xf numFmtId="0" fontId="0" fillId="7" borderId="1" xfId="0" quotePrefix="1" applyFill="1" applyBorder="1">
      <alignment vertical="center"/>
    </xf>
    <xf numFmtId="0" fontId="0" fillId="7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3" borderId="1" xfId="0" quotePrefix="1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5" borderId="1" xfId="0" quotePrefix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right" vertical="center"/>
    </xf>
    <xf numFmtId="0" fontId="0" fillId="8" borderId="1" xfId="0" quotePrefix="1" applyFill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left" vertical="center"/>
    </xf>
    <xf numFmtId="0" fontId="0" fillId="6" borderId="1" xfId="0" quotePrefix="1" applyFill="1" applyBorder="1">
      <alignment vertical="center"/>
    </xf>
    <xf numFmtId="0" fontId="8" fillId="4" borderId="0" xfId="0" applyFont="1" applyFill="1">
      <alignment vertical="center"/>
    </xf>
    <xf numFmtId="0" fontId="8" fillId="3" borderId="0" xfId="0" applyFont="1" applyFill="1">
      <alignment vertical="center"/>
    </xf>
    <xf numFmtId="0" fontId="8" fillId="6" borderId="0" xfId="0" applyFont="1" applyFill="1">
      <alignment vertical="center"/>
    </xf>
    <xf numFmtId="0" fontId="8" fillId="5" borderId="0" xfId="0" applyFont="1" applyFill="1">
      <alignment vertical="center"/>
    </xf>
    <xf numFmtId="0" fontId="8" fillId="9" borderId="0" xfId="0" applyFont="1" applyFill="1">
      <alignment vertical="center"/>
    </xf>
    <xf numFmtId="0" fontId="8" fillId="5" borderId="0" xfId="0" applyFont="1" applyFill="1" applyAlignment="1">
      <alignment horizontal="right" vertical="center"/>
    </xf>
    <xf numFmtId="0" fontId="8" fillId="0" borderId="0" xfId="0" applyFont="1" applyFill="1">
      <alignment vertical="center"/>
    </xf>
    <xf numFmtId="0" fontId="8" fillId="8" borderId="0" xfId="0" applyFont="1" applyFill="1">
      <alignment vertical="center"/>
    </xf>
    <xf numFmtId="0" fontId="8" fillId="2" borderId="0" xfId="0" applyFont="1" applyFill="1">
      <alignment vertical="center"/>
    </xf>
    <xf numFmtId="0" fontId="8" fillId="3" borderId="0" xfId="0" applyFont="1" applyFill="1" applyAlignment="1">
      <alignment horizontal="right" vertical="center"/>
    </xf>
    <xf numFmtId="0" fontId="8" fillId="6" borderId="0" xfId="0" applyFont="1" applyFill="1" applyAlignment="1">
      <alignment horizontal="right" vertical="center"/>
    </xf>
    <xf numFmtId="0" fontId="8" fillId="4" borderId="0" xfId="0" applyFont="1" applyFill="1" applyAlignment="1">
      <alignment horizontal="right" vertical="center"/>
    </xf>
    <xf numFmtId="0" fontId="8" fillId="9" borderId="0" xfId="0" applyFont="1" applyFill="1" applyAlignment="1">
      <alignment horizontal="right" vertical="center"/>
    </xf>
    <xf numFmtId="0" fontId="8" fillId="0" borderId="0" xfId="0" applyFont="1" applyAlignment="1">
      <alignment vertical="top" wrapText="1"/>
    </xf>
    <xf numFmtId="0" fontId="8" fillId="10" borderId="0" xfId="0" applyFont="1" applyFill="1">
      <alignment vertical="center"/>
    </xf>
    <xf numFmtId="0" fontId="8" fillId="10" borderId="0" xfId="0" applyFont="1" applyFill="1" applyAlignment="1">
      <alignment horizontal="right" vertical="center"/>
    </xf>
    <xf numFmtId="0" fontId="0" fillId="0" borderId="0" xfId="0" applyFill="1">
      <alignment vertical="center"/>
    </xf>
    <xf numFmtId="0" fontId="8" fillId="11" borderId="0" xfId="0" applyFont="1" applyFill="1">
      <alignment vertical="center"/>
    </xf>
    <xf numFmtId="0" fontId="8" fillId="8" borderId="0" xfId="0" applyFont="1" applyFill="1" applyAlignment="1">
      <alignment horizontal="right" vertical="center"/>
    </xf>
    <xf numFmtId="0" fontId="0" fillId="6" borderId="0" xfId="0" applyFill="1">
      <alignment vertical="center"/>
    </xf>
    <xf numFmtId="0" fontId="8" fillId="5" borderId="1" xfId="0" applyFont="1" applyFill="1" applyBorder="1">
      <alignment vertical="center"/>
    </xf>
    <xf numFmtId="0" fontId="8" fillId="4" borderId="1" xfId="0" applyFont="1" applyFill="1" applyBorder="1">
      <alignment vertical="center"/>
    </xf>
    <xf numFmtId="0" fontId="0" fillId="4" borderId="1" xfId="0" quotePrefix="1" applyFill="1" applyBorder="1">
      <alignment vertical="center"/>
    </xf>
    <xf numFmtId="0" fontId="8" fillId="12" borderId="0" xfId="0" applyFont="1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8" fillId="6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8" fillId="13" borderId="0" xfId="0" applyFont="1" applyFill="1">
      <alignment vertical="center"/>
    </xf>
    <xf numFmtId="0" fontId="8" fillId="14" borderId="0" xfId="0" applyFont="1" applyFill="1">
      <alignment vertical="center"/>
    </xf>
    <xf numFmtId="0" fontId="8" fillId="15" borderId="0" xfId="0" applyFont="1" applyFill="1">
      <alignment vertical="center"/>
    </xf>
    <xf numFmtId="0" fontId="8" fillId="16" borderId="0" xfId="0" applyFont="1" applyFill="1">
      <alignment vertical="center"/>
    </xf>
    <xf numFmtId="0" fontId="8" fillId="17" borderId="0" xfId="0" applyFont="1" applyFill="1">
      <alignment vertical="center"/>
    </xf>
    <xf numFmtId="0" fontId="8" fillId="17" borderId="0" xfId="0" applyFont="1" applyFill="1" applyAlignment="1">
      <alignment horizontal="center" vertical="center"/>
    </xf>
    <xf numFmtId="0" fontId="8" fillId="14" borderId="0" xfId="0" applyFont="1" applyFill="1" applyAlignment="1">
      <alignment horizontal="center" vertical="center"/>
    </xf>
    <xf numFmtId="0" fontId="10" fillId="18" borderId="0" xfId="0" applyFont="1" applyFill="1">
      <alignment vertical="center"/>
    </xf>
    <xf numFmtId="0" fontId="8" fillId="18" borderId="0" xfId="0" applyFont="1" applyFill="1">
      <alignment vertical="center"/>
    </xf>
    <xf numFmtId="0" fontId="10" fillId="19" borderId="0" xfId="0" applyFont="1" applyFill="1">
      <alignment vertical="center"/>
    </xf>
    <xf numFmtId="0" fontId="8" fillId="19" borderId="0" xfId="0" applyFont="1" applyFill="1">
      <alignment vertical="center"/>
    </xf>
    <xf numFmtId="0" fontId="10" fillId="11" borderId="0" xfId="0" applyFont="1" applyFill="1">
      <alignment vertical="center"/>
    </xf>
    <xf numFmtId="0" fontId="10" fillId="20" borderId="0" xfId="0" applyFont="1" applyFill="1">
      <alignment vertical="center"/>
    </xf>
    <xf numFmtId="0" fontId="8" fillId="20" borderId="0" xfId="0" applyFont="1" applyFill="1">
      <alignment vertical="center"/>
    </xf>
    <xf numFmtId="0" fontId="8" fillId="6" borderId="0" xfId="0" applyFont="1" applyFill="1" applyAlignment="1">
      <alignment horizontal="left" vertical="top" wrapText="1"/>
    </xf>
    <xf numFmtId="0" fontId="8" fillId="8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 wrapText="1"/>
    </xf>
  </cellXfs>
  <cellStyles count="2">
    <cellStyle name="桁区切り" xfId="1" builtinId="6"/>
    <cellStyle name="標準" xfId="0" builtinId="0"/>
  </cellStyles>
  <dxfs count="55"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b val="0"/>
        <i val="0"/>
        <color rgb="FFFF0000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b val="0"/>
        <i val="0"/>
        <color rgb="FFFF0000"/>
      </font>
    </dxf>
    <dxf>
      <font>
        <color theme="1"/>
      </font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99CC"/>
        </patternFill>
      </fill>
    </dxf>
    <dxf>
      <fill>
        <patternFill>
          <bgColor rgb="FFCC66FF"/>
        </patternFill>
      </fill>
    </dxf>
  </dxfs>
  <tableStyles count="0" defaultTableStyle="TableStyleMedium2" defaultPivotStyle="PivotStyleLight16"/>
  <colors>
    <mruColors>
      <color rgb="FFCC66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120650</xdr:rowOff>
    </xdr:from>
    <xdr:ext cx="3225800" cy="3378200"/>
    <xdr:sp macro="" textlink="エラー!D1">
      <xdr:nvSpPr>
        <xdr:cNvPr id="3" name="テキスト ボックス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00050" y="120650"/>
          <a:ext cx="3225800" cy="3378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fld id="{024DBEA5-054E-451D-AEA6-05A15FD6EE12}" type="TxLink">
            <a:rPr kumimoji="1" lang="en-US" altLang="en-US" sz="1100" b="0" i="0" u="none" strike="noStrike">
              <a:solidFill>
                <a:srgbClr val="FF0000"/>
              </a:solidFill>
              <a:latin typeface="ＭＳ Ｐゴシック"/>
              <a:ea typeface="ＭＳ Ｐゴシック"/>
            </a:rPr>
            <a:pPr/>
            <a:t> </a:t>
          </a:fld>
          <a:endParaRPr kumimoji="1" lang="ja-JP" altLang="en-US" sz="110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603868</xdr:colOff>
      <xdr:row>52</xdr:row>
      <xdr:rowOff>6350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82385" cy="8659867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3</xdr:row>
      <xdr:rowOff>41166</xdr:rowOff>
    </xdr:from>
    <xdr:to>
      <xdr:col>2</xdr:col>
      <xdr:colOff>406400</xdr:colOff>
      <xdr:row>5</xdr:row>
      <xdr:rowOff>3021</xdr:rowOff>
    </xdr:to>
    <xdr:sp macro="" textlink="プロフィール!C2">
      <xdr:nvSpPr>
        <xdr:cNvPr id="3" name="テキスト ボックス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400050" y="540407"/>
          <a:ext cx="1223798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0B90D39B-080F-4DCD-A131-EBBD9A7305CF}" type="TxLink">
            <a:rPr kumimoji="1" lang="ja-JP" altLang="en-US" sz="11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/>
            <a:t> 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139700</xdr:colOff>
      <xdr:row>3</xdr:row>
      <xdr:rowOff>41166</xdr:rowOff>
    </xdr:from>
    <xdr:to>
      <xdr:col>4</xdr:col>
      <xdr:colOff>44450</xdr:colOff>
      <xdr:row>5</xdr:row>
      <xdr:rowOff>3021</xdr:rowOff>
    </xdr:to>
    <xdr:sp macro="" textlink="プロフィール!C3">
      <xdr:nvSpPr>
        <xdr:cNvPr id="4" name="テキスト ボックス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965872" y="540407"/>
          <a:ext cx="513475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BE6E0F17-A2C4-47E6-A414-ADEADE09F61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只人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431800</xdr:colOff>
      <xdr:row>3</xdr:row>
      <xdr:rowOff>41166</xdr:rowOff>
    </xdr:from>
    <xdr:to>
      <xdr:col>5</xdr:col>
      <xdr:colOff>336550</xdr:colOff>
      <xdr:row>5</xdr:row>
      <xdr:rowOff>3021</xdr:rowOff>
    </xdr:to>
    <xdr:sp macro="" textlink="プロフィール!C4">
      <xdr:nvSpPr>
        <xdr:cNvPr id="5" name="テキスト ボックス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2866697" y="540407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4D278F16-CC8A-4A59-8D78-43D7EC2C26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 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107950</xdr:colOff>
      <xdr:row>3</xdr:row>
      <xdr:rowOff>40509</xdr:rowOff>
    </xdr:from>
    <xdr:to>
      <xdr:col>7</xdr:col>
      <xdr:colOff>12700</xdr:colOff>
      <xdr:row>5</xdr:row>
      <xdr:rowOff>3678</xdr:rowOff>
    </xdr:to>
    <xdr:sp macro="" textlink="プロフィール!C5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760295" y="539750"/>
          <a:ext cx="513474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1A936111-39CF-447E-AE00-565CC13DD01E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 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287283</xdr:colOff>
      <xdr:row>3</xdr:row>
      <xdr:rowOff>58025</xdr:rowOff>
    </xdr:from>
    <xdr:to>
      <xdr:col>8</xdr:col>
      <xdr:colOff>236484</xdr:colOff>
      <xdr:row>5</xdr:row>
      <xdr:rowOff>21194</xdr:rowOff>
    </xdr:to>
    <xdr:sp macro="" textlink="プロフィール!C6">
      <xdr:nvSpPr>
        <xdr:cNvPr id="7" name="テキスト ボックス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4548352" y="557266"/>
          <a:ext cx="557925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BE573A0-C277-4C3B-9E71-8A4ECBD4E097}" type="TxLink">
            <a:rPr kumimoji="1" lang="ja-JP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騎士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87588</xdr:colOff>
      <xdr:row>3</xdr:row>
      <xdr:rowOff>58025</xdr:rowOff>
    </xdr:from>
    <xdr:to>
      <xdr:col>9</xdr:col>
      <xdr:colOff>36789</xdr:colOff>
      <xdr:row>5</xdr:row>
      <xdr:rowOff>21194</xdr:rowOff>
    </xdr:to>
    <xdr:sp macro="" textlink="プロフィール!C7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4957381" y="557266"/>
          <a:ext cx="557925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EE2879B-7186-4F32-B621-CD3287113619}" type="TxLink">
            <a:rPr kumimoji="1" lang="ja-JP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平穏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519389</xdr:colOff>
      <xdr:row>3</xdr:row>
      <xdr:rowOff>58025</xdr:rowOff>
    </xdr:from>
    <xdr:to>
      <xdr:col>9</xdr:col>
      <xdr:colOff>468590</xdr:colOff>
      <xdr:row>5</xdr:row>
      <xdr:rowOff>21194</xdr:rowOff>
    </xdr:to>
    <xdr:sp macro="" textlink="プロフィール!C8">
      <xdr:nvSpPr>
        <xdr:cNvPr id="9" name="テキスト ボックス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5389182" y="557266"/>
          <a:ext cx="557925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00DCEB7-D9BD-4E87-8B30-42DC528E9AB8}" type="TxLink">
            <a:rPr kumimoji="1" lang="ja-JP" altLang="en-US" sz="9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宿敵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421071</xdr:colOff>
      <xdr:row>5</xdr:row>
      <xdr:rowOff>88025</xdr:rowOff>
    </xdr:from>
    <xdr:to>
      <xdr:col>2</xdr:col>
      <xdr:colOff>427421</xdr:colOff>
      <xdr:row>7</xdr:row>
      <xdr:rowOff>49880</xdr:rowOff>
    </xdr:to>
    <xdr:sp macro="" textlink="プロフィール!C9">
      <xdr:nvSpPr>
        <xdr:cNvPr id="10" name="テキスト ボックス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21071" y="920094"/>
          <a:ext cx="1223798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1B54B6D7-AF10-4239-9EDF-33BFED0DE903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白磁等級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354505</xdr:colOff>
      <xdr:row>5</xdr:row>
      <xdr:rowOff>88025</xdr:rowOff>
    </xdr:from>
    <xdr:to>
      <xdr:col>6</xdr:col>
      <xdr:colOff>328447</xdr:colOff>
      <xdr:row>7</xdr:row>
      <xdr:rowOff>49880</xdr:rowOff>
    </xdr:to>
    <xdr:sp macro="" textlink="プロフィール!C10">
      <xdr:nvSpPr>
        <xdr:cNvPr id="11" name="テキスト ボックス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2180677" y="920094"/>
          <a:ext cx="1800115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32AD7F3-170B-42FF-8D91-46D7C415FC30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 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388664</xdr:colOff>
      <xdr:row>5</xdr:row>
      <xdr:rowOff>88025</xdr:rowOff>
    </xdr:from>
    <xdr:to>
      <xdr:col>7</xdr:col>
      <xdr:colOff>578070</xdr:colOff>
      <xdr:row>7</xdr:row>
      <xdr:rowOff>49880</xdr:rowOff>
    </xdr:to>
    <xdr:sp macro="" textlink="プロフィール!C11">
      <xdr:nvSpPr>
        <xdr:cNvPr id="12" name="テキスト ボックス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4041009" y="920094"/>
          <a:ext cx="798130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D73E7345-FCFF-47C0-B4CA-2B1F7F6784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 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153276</xdr:colOff>
      <xdr:row>5</xdr:row>
      <xdr:rowOff>88025</xdr:rowOff>
    </xdr:from>
    <xdr:to>
      <xdr:col>9</xdr:col>
      <xdr:colOff>342682</xdr:colOff>
      <xdr:row>7</xdr:row>
      <xdr:rowOff>49880</xdr:rowOff>
    </xdr:to>
    <xdr:sp macro="" textlink="プロフィール!C12">
      <xdr:nvSpPr>
        <xdr:cNvPr id="14" name="テキスト ボックス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5023069" y="920094"/>
          <a:ext cx="798130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CBF892D0-3F35-431B-B0B2-3F50439CBB2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 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11</xdr:row>
      <xdr:rowOff>48282</xdr:rowOff>
    </xdr:from>
    <xdr:to>
      <xdr:col>1</xdr:col>
      <xdr:colOff>608506</xdr:colOff>
      <xdr:row>13</xdr:row>
      <xdr:rowOff>10138</xdr:rowOff>
    </xdr:to>
    <xdr:sp macro="" textlink="能力値!H4">
      <xdr:nvSpPr>
        <xdr:cNvPr id="15" name="テキスト ボックス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703756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C96D2F63-3823-4918-8622-9FAB374CB2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３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13</xdr:row>
      <xdr:rowOff>56713</xdr:rowOff>
    </xdr:from>
    <xdr:to>
      <xdr:col>1</xdr:col>
      <xdr:colOff>608506</xdr:colOff>
      <xdr:row>15</xdr:row>
      <xdr:rowOff>18568</xdr:rowOff>
    </xdr:to>
    <xdr:sp macro="" textlink="能力値!H5">
      <xdr:nvSpPr>
        <xdr:cNvPr id="16" name="テキスト ボックス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703756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E2447445-10D6-4C9B-94A6-E27D6BA782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２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15</xdr:row>
      <xdr:rowOff>65143</xdr:rowOff>
    </xdr:from>
    <xdr:to>
      <xdr:col>1</xdr:col>
      <xdr:colOff>608506</xdr:colOff>
      <xdr:row>17</xdr:row>
      <xdr:rowOff>26999</xdr:rowOff>
    </xdr:to>
    <xdr:sp macro="" textlink="能力値!H6">
      <xdr:nvSpPr>
        <xdr:cNvPr id="17" name="テキスト ボックス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703756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B9E406A3-0626-42A8-980A-EF9AD34352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３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95032</xdr:colOff>
      <xdr:row>17</xdr:row>
      <xdr:rowOff>73574</xdr:rowOff>
    </xdr:from>
    <xdr:to>
      <xdr:col>1</xdr:col>
      <xdr:colOff>608506</xdr:colOff>
      <xdr:row>19</xdr:row>
      <xdr:rowOff>35429</xdr:rowOff>
    </xdr:to>
    <xdr:sp macro="" textlink="能力値!H7">
      <xdr:nvSpPr>
        <xdr:cNvPr id="18" name="テキスト ボックス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703756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35FB35E2-77AB-4D22-B57E-3F1D3ACCBAD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３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11</xdr:row>
      <xdr:rowOff>48282</xdr:rowOff>
    </xdr:from>
    <xdr:to>
      <xdr:col>3</xdr:col>
      <xdr:colOff>221813</xdr:colOff>
      <xdr:row>13</xdr:row>
      <xdr:rowOff>10138</xdr:rowOff>
    </xdr:to>
    <xdr:sp macro="" textlink="能力値!J10">
      <xdr:nvSpPr>
        <xdr:cNvPr id="19" name="テキスト ボックス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534511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9F23075-2361-47AE-B7F5-968C1C1FAE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５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13</xdr:row>
      <xdr:rowOff>56713</xdr:rowOff>
    </xdr:from>
    <xdr:to>
      <xdr:col>3</xdr:col>
      <xdr:colOff>221813</xdr:colOff>
      <xdr:row>15</xdr:row>
      <xdr:rowOff>18568</xdr:rowOff>
    </xdr:to>
    <xdr:sp macro="" textlink="能力値!K10">
      <xdr:nvSpPr>
        <xdr:cNvPr id="20" name="テキスト ボックス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534511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5D174B1E-63EB-4241-8147-570F1DEA5E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15</xdr:row>
      <xdr:rowOff>65143</xdr:rowOff>
    </xdr:from>
    <xdr:to>
      <xdr:col>3</xdr:col>
      <xdr:colOff>221813</xdr:colOff>
      <xdr:row>17</xdr:row>
      <xdr:rowOff>26999</xdr:rowOff>
    </xdr:to>
    <xdr:sp macro="" textlink="能力値!L10">
      <xdr:nvSpPr>
        <xdr:cNvPr id="21" name="テキスト ボックス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534511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132963F-4B64-416E-B28B-3D6438B915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５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17</xdr:row>
      <xdr:rowOff>73574</xdr:rowOff>
    </xdr:from>
    <xdr:to>
      <xdr:col>3</xdr:col>
      <xdr:colOff>221813</xdr:colOff>
      <xdr:row>19</xdr:row>
      <xdr:rowOff>35429</xdr:rowOff>
    </xdr:to>
    <xdr:sp macro="" textlink="能力値!M10">
      <xdr:nvSpPr>
        <xdr:cNvPr id="22" name="テキスト ボックス 21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534511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CDF56869-3F8C-4A9B-AC02-23996FF6B3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５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11</xdr:row>
      <xdr:rowOff>48282</xdr:rowOff>
    </xdr:from>
    <xdr:to>
      <xdr:col>4</xdr:col>
      <xdr:colOff>326040</xdr:colOff>
      <xdr:row>13</xdr:row>
      <xdr:rowOff>10138</xdr:rowOff>
    </xdr:to>
    <xdr:sp macro="" textlink="能力値!J11">
      <xdr:nvSpPr>
        <xdr:cNvPr id="23" name="テキスト ボックス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2247463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2C77E70B-B6DB-4AB8-B330-1D77E33F29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７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13</xdr:row>
      <xdr:rowOff>56713</xdr:rowOff>
    </xdr:from>
    <xdr:to>
      <xdr:col>4</xdr:col>
      <xdr:colOff>326040</xdr:colOff>
      <xdr:row>15</xdr:row>
      <xdr:rowOff>18568</xdr:rowOff>
    </xdr:to>
    <xdr:sp macro="" textlink="能力値!K11">
      <xdr:nvSpPr>
        <xdr:cNvPr id="24" name="テキスト ボックス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2247463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57BEAABF-E599-411B-B4DA-A9863D41C7F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６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15</xdr:row>
      <xdr:rowOff>65143</xdr:rowOff>
    </xdr:from>
    <xdr:to>
      <xdr:col>4</xdr:col>
      <xdr:colOff>326040</xdr:colOff>
      <xdr:row>17</xdr:row>
      <xdr:rowOff>26999</xdr:rowOff>
    </xdr:to>
    <xdr:sp macro="" textlink="能力値!L11">
      <xdr:nvSpPr>
        <xdr:cNvPr id="25" name="テキスト ボックス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2247463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355939A-65E9-4F86-89B4-16F8A36A7A1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７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17</xdr:row>
      <xdr:rowOff>73574</xdr:rowOff>
    </xdr:from>
    <xdr:to>
      <xdr:col>4</xdr:col>
      <xdr:colOff>326040</xdr:colOff>
      <xdr:row>19</xdr:row>
      <xdr:rowOff>35429</xdr:rowOff>
    </xdr:to>
    <xdr:sp macro="" textlink="能力値!M11">
      <xdr:nvSpPr>
        <xdr:cNvPr id="26" name="テキスト ボックス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2247463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FB8B89AD-550C-4030-A089-EED2753829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７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11</xdr:row>
      <xdr:rowOff>48282</xdr:rowOff>
    </xdr:from>
    <xdr:to>
      <xdr:col>5</xdr:col>
      <xdr:colOff>474061</xdr:colOff>
      <xdr:row>13</xdr:row>
      <xdr:rowOff>10138</xdr:rowOff>
    </xdr:to>
    <xdr:sp macro="" textlink="能力値!J12">
      <xdr:nvSpPr>
        <xdr:cNvPr id="27" name="テキスト ボックス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3004208" y="1878834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EDE1C898-7A33-41AF-80F9-EA1B46D4AF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５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13</xdr:row>
      <xdr:rowOff>56713</xdr:rowOff>
    </xdr:from>
    <xdr:to>
      <xdr:col>5</xdr:col>
      <xdr:colOff>474061</xdr:colOff>
      <xdr:row>15</xdr:row>
      <xdr:rowOff>18568</xdr:rowOff>
    </xdr:to>
    <xdr:sp macro="" textlink="能力値!K12">
      <xdr:nvSpPr>
        <xdr:cNvPr id="28" name="テキスト ボックス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3004208" y="2220092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29768C42-F381-414D-889F-4A296E4C8D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15</xdr:row>
      <xdr:rowOff>65143</xdr:rowOff>
    </xdr:from>
    <xdr:to>
      <xdr:col>5</xdr:col>
      <xdr:colOff>474061</xdr:colOff>
      <xdr:row>17</xdr:row>
      <xdr:rowOff>26999</xdr:rowOff>
    </xdr:to>
    <xdr:sp macro="" textlink="能力値!L12">
      <xdr:nvSpPr>
        <xdr:cNvPr id="29" name="テキスト ボックス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3004208" y="2561350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EA33F9DD-8931-45A1-9DDD-31F4974E87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５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17</xdr:row>
      <xdr:rowOff>73574</xdr:rowOff>
    </xdr:from>
    <xdr:to>
      <xdr:col>5</xdr:col>
      <xdr:colOff>474061</xdr:colOff>
      <xdr:row>19</xdr:row>
      <xdr:rowOff>35429</xdr:rowOff>
    </xdr:to>
    <xdr:sp macro="" textlink="能力値!M12">
      <xdr:nvSpPr>
        <xdr:cNvPr id="30" name="テキスト ボックス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3004208" y="2902608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1A2FC028-DE46-4F3A-B8FB-21941623BA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５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317063</xdr:colOff>
      <xdr:row>9</xdr:row>
      <xdr:rowOff>39852</xdr:rowOff>
    </xdr:from>
    <xdr:to>
      <xdr:col>3</xdr:col>
      <xdr:colOff>221813</xdr:colOff>
      <xdr:row>11</xdr:row>
      <xdr:rowOff>1707</xdr:rowOff>
    </xdr:to>
    <xdr:sp macro="" textlink="能力値!H10">
      <xdr:nvSpPr>
        <xdr:cNvPr id="31" name="テキスト ボックス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1534511" y="1537576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36A1CCAD-9C20-4472-8A13-F42AA5BAF1B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２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421291</xdr:colOff>
      <xdr:row>9</xdr:row>
      <xdr:rowOff>39852</xdr:rowOff>
    </xdr:from>
    <xdr:to>
      <xdr:col>4</xdr:col>
      <xdr:colOff>326040</xdr:colOff>
      <xdr:row>11</xdr:row>
      <xdr:rowOff>1707</xdr:rowOff>
    </xdr:to>
    <xdr:sp macro="" textlink="能力値!H11">
      <xdr:nvSpPr>
        <xdr:cNvPr id="32" name="テキスト ボックス 31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2247463" y="1537576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56DCAF7D-4321-4563-9BC7-5BC80B3E6D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４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569311</xdr:colOff>
      <xdr:row>9</xdr:row>
      <xdr:rowOff>39852</xdr:rowOff>
    </xdr:from>
    <xdr:to>
      <xdr:col>5</xdr:col>
      <xdr:colOff>474061</xdr:colOff>
      <xdr:row>11</xdr:row>
      <xdr:rowOff>1707</xdr:rowOff>
    </xdr:to>
    <xdr:sp macro="" textlink="能力値!H12">
      <xdr:nvSpPr>
        <xdr:cNvPr id="33" name="テキスト ボックス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SpPr txBox="1"/>
      </xdr:nvSpPr>
      <xdr:spPr>
        <a:xfrm>
          <a:off x="3004208" y="1537576"/>
          <a:ext cx="513474" cy="294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8BA6538C-0B5F-4BBF-9A63-2634A11A0D3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/>
            <a:t>２</a:t>
          </a:fld>
          <a:endParaRPr kumimoji="1" lang="ja-JP" altLang="en-US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175171</xdr:colOff>
      <xdr:row>20</xdr:row>
      <xdr:rowOff>61528</xdr:rowOff>
    </xdr:from>
    <xdr:to>
      <xdr:col>2</xdr:col>
      <xdr:colOff>248086</xdr:colOff>
      <xdr:row>22</xdr:row>
      <xdr:rowOff>24698</xdr:rowOff>
    </xdr:to>
    <xdr:sp macro="" textlink="冒険者職業レベル!D13">
      <xdr:nvSpPr>
        <xdr:cNvPr id="34" name="テキスト ボックス 3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783895" y="3389804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7A3AAF0-E12F-4795-B9C0-4C39FC442B3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3,000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175171</xdr:colOff>
      <xdr:row>21</xdr:row>
      <xdr:rowOff>51893</xdr:rowOff>
    </xdr:from>
    <xdr:to>
      <xdr:col>2</xdr:col>
      <xdr:colOff>248086</xdr:colOff>
      <xdr:row>23</xdr:row>
      <xdr:rowOff>15063</xdr:rowOff>
    </xdr:to>
    <xdr:sp macro="" textlink="冒険者職業レベル!D15">
      <xdr:nvSpPr>
        <xdr:cNvPr id="35" name="テキスト ボックス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783895" y="3546583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0AF96B1-00BF-49DF-BAA3-D9E27CC3A846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500</a:t>
          </a:fld>
          <a:endParaRPr kumimoji="1" lang="ja-JP" altLang="en-US" sz="3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104226</xdr:colOff>
      <xdr:row>20</xdr:row>
      <xdr:rowOff>121086</xdr:rowOff>
    </xdr:from>
    <xdr:to>
      <xdr:col>3</xdr:col>
      <xdr:colOff>177141</xdr:colOff>
      <xdr:row>22</xdr:row>
      <xdr:rowOff>84256</xdr:rowOff>
    </xdr:to>
    <xdr:sp macro="" textlink="冒険者職業レベル!D18">
      <xdr:nvSpPr>
        <xdr:cNvPr id="36" name="テキスト ボックス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1321674" y="3449362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042CF52-67DC-42FC-9B3A-CB5BF75F7265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4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</xdr:col>
      <xdr:colOff>178675</xdr:colOff>
      <xdr:row>23</xdr:row>
      <xdr:rowOff>48391</xdr:rowOff>
    </xdr:from>
    <xdr:to>
      <xdr:col>2</xdr:col>
      <xdr:colOff>251590</xdr:colOff>
      <xdr:row>25</xdr:row>
      <xdr:rowOff>11560</xdr:rowOff>
    </xdr:to>
    <xdr:sp macro="" textlink="冒険者職業レベル!D31">
      <xdr:nvSpPr>
        <xdr:cNvPr id="37" name="テキスト ボックス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787399" y="3875908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DC65D59-CE4F-4A2C-B7FF-8ECB9A0E798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85834</xdr:colOff>
      <xdr:row>23</xdr:row>
      <xdr:rowOff>48391</xdr:rowOff>
    </xdr:from>
    <xdr:to>
      <xdr:col>1</xdr:col>
      <xdr:colOff>158749</xdr:colOff>
      <xdr:row>25</xdr:row>
      <xdr:rowOff>11560</xdr:rowOff>
    </xdr:to>
    <xdr:sp macro="" textlink="冒険者職業レベル!D32">
      <xdr:nvSpPr>
        <xdr:cNvPr id="38" name="テキスト ボックス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85834" y="3875908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695EB6E-92CE-4B9E-8842-BC2A5A4F3061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214586</xdr:colOff>
      <xdr:row>20</xdr:row>
      <xdr:rowOff>102255</xdr:rowOff>
    </xdr:from>
    <xdr:to>
      <xdr:col>5</xdr:col>
      <xdr:colOff>18609</xdr:colOff>
      <xdr:row>22</xdr:row>
      <xdr:rowOff>65425</xdr:rowOff>
    </xdr:to>
    <xdr:sp macro="" textlink="状態!F11">
      <xdr:nvSpPr>
        <xdr:cNvPr id="39" name="テキスト ボックス 3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2649483" y="3430531"/>
          <a:ext cx="412747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994C8A36-055A-464A-93F8-DE1BA4EEA5E3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23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599965</xdr:colOff>
      <xdr:row>20</xdr:row>
      <xdr:rowOff>102255</xdr:rowOff>
    </xdr:from>
    <xdr:to>
      <xdr:col>5</xdr:col>
      <xdr:colOff>368078</xdr:colOff>
      <xdr:row>22</xdr:row>
      <xdr:rowOff>65425</xdr:rowOff>
    </xdr:to>
    <xdr:sp macro="" textlink="状態!F14">
      <xdr:nvSpPr>
        <xdr:cNvPr id="40" name="テキスト ボックス 39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3034862" y="3430531"/>
          <a:ext cx="376837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3109751-EFD2-426D-A7CC-D7D8B5035833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46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599965</xdr:colOff>
      <xdr:row>22</xdr:row>
      <xdr:rowOff>153932</xdr:rowOff>
    </xdr:from>
    <xdr:to>
      <xdr:col>5</xdr:col>
      <xdr:colOff>368078</xdr:colOff>
      <xdr:row>24</xdr:row>
      <xdr:rowOff>117101</xdr:rowOff>
    </xdr:to>
    <xdr:sp macro="" textlink="状態!F12">
      <xdr:nvSpPr>
        <xdr:cNvPr id="41" name="テキスト ボックス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SpPr txBox="1"/>
      </xdr:nvSpPr>
      <xdr:spPr>
        <a:xfrm>
          <a:off x="3034862" y="3815035"/>
          <a:ext cx="376837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82DEBB0-BE31-471F-A6D2-301C28BBD41F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21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243488</xdr:colOff>
      <xdr:row>20</xdr:row>
      <xdr:rowOff>28245</xdr:rowOff>
    </xdr:from>
    <xdr:to>
      <xdr:col>7</xdr:col>
      <xdr:colOff>316403</xdr:colOff>
      <xdr:row>21</xdr:row>
      <xdr:rowOff>157828</xdr:rowOff>
    </xdr:to>
    <xdr:sp macro="" textlink="状態!F13">
      <xdr:nvSpPr>
        <xdr:cNvPr id="42" name="テキスト ボックス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SpPr txBox="1"/>
      </xdr:nvSpPr>
      <xdr:spPr>
        <a:xfrm>
          <a:off x="3895833" y="3356521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6015EF0-E753-47C0-8204-9857EE8939D9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0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243488</xdr:colOff>
      <xdr:row>22</xdr:row>
      <xdr:rowOff>88680</xdr:rowOff>
    </xdr:from>
    <xdr:to>
      <xdr:col>7</xdr:col>
      <xdr:colOff>316403</xdr:colOff>
      <xdr:row>24</xdr:row>
      <xdr:rowOff>51849</xdr:rowOff>
    </xdr:to>
    <xdr:sp macro="" textlink="状態!D16">
      <xdr:nvSpPr>
        <xdr:cNvPr id="43" name="テキスト ボックス 42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SpPr txBox="1"/>
      </xdr:nvSpPr>
      <xdr:spPr>
        <a:xfrm>
          <a:off x="3895833" y="3749783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6946DB3F-9ED1-4674-B2A6-91E22E50B48C}" type="TxLink">
            <a:rPr kumimoji="1" lang="en-US" altLang="en-US" sz="12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5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247869</xdr:colOff>
      <xdr:row>24</xdr:row>
      <xdr:rowOff>91308</xdr:rowOff>
    </xdr:from>
    <xdr:to>
      <xdr:col>3</xdr:col>
      <xdr:colOff>320784</xdr:colOff>
      <xdr:row>26</xdr:row>
      <xdr:rowOff>54477</xdr:rowOff>
    </xdr:to>
    <xdr:sp macro="" textlink="冒険者職業レベル!D19">
      <xdr:nvSpPr>
        <xdr:cNvPr id="44" name="テキスト ボックス 43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 txBox="1"/>
      </xdr:nvSpPr>
      <xdr:spPr>
        <a:xfrm>
          <a:off x="1465317" y="4085239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644A48CF-1268-482C-80D8-714D1D9096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26</xdr:row>
      <xdr:rowOff>151742</xdr:rowOff>
    </xdr:from>
    <xdr:to>
      <xdr:col>3</xdr:col>
      <xdr:colOff>322535</xdr:colOff>
      <xdr:row>28</xdr:row>
      <xdr:rowOff>114912</xdr:rowOff>
    </xdr:to>
    <xdr:sp macro="" textlink="冒険者職業レベル!H3">
      <xdr:nvSpPr>
        <xdr:cNvPr id="45" name="テキスト ボックス 4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SpPr txBox="1"/>
      </xdr:nvSpPr>
      <xdr:spPr>
        <a:xfrm>
          <a:off x="1467068" y="4478501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6CCA02F-5843-4AA9-8F2D-9603B23F80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3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27</xdr:row>
      <xdr:rowOff>146988</xdr:rowOff>
    </xdr:from>
    <xdr:to>
      <xdr:col>3</xdr:col>
      <xdr:colOff>322535</xdr:colOff>
      <xdr:row>29</xdr:row>
      <xdr:rowOff>110157</xdr:rowOff>
    </xdr:to>
    <xdr:sp macro="" textlink="冒険者職業レベル!H4">
      <xdr:nvSpPr>
        <xdr:cNvPr id="46" name="テキスト ボックス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SpPr txBox="1"/>
      </xdr:nvSpPr>
      <xdr:spPr>
        <a:xfrm>
          <a:off x="1467068" y="4640160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E306A16-02FD-4CD1-A562-15A27A4FFB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28</xdr:row>
      <xdr:rowOff>142233</xdr:rowOff>
    </xdr:from>
    <xdr:to>
      <xdr:col>3</xdr:col>
      <xdr:colOff>322535</xdr:colOff>
      <xdr:row>30</xdr:row>
      <xdr:rowOff>105402</xdr:rowOff>
    </xdr:to>
    <xdr:sp macro="" textlink="冒険者職業レベル!H5">
      <xdr:nvSpPr>
        <xdr:cNvPr id="47" name="テキスト ボックス 46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SpPr txBox="1"/>
      </xdr:nvSpPr>
      <xdr:spPr>
        <a:xfrm>
          <a:off x="1467068" y="4801819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D2D18E6E-5466-459E-9125-7A4B359957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29</xdr:row>
      <xdr:rowOff>137478</xdr:rowOff>
    </xdr:from>
    <xdr:to>
      <xdr:col>3</xdr:col>
      <xdr:colOff>322535</xdr:colOff>
      <xdr:row>31</xdr:row>
      <xdr:rowOff>100647</xdr:rowOff>
    </xdr:to>
    <xdr:sp macro="" textlink="冒険者職業レベル!H6">
      <xdr:nvSpPr>
        <xdr:cNvPr id="48" name="テキスト ボックス 4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SpPr txBox="1"/>
      </xdr:nvSpPr>
      <xdr:spPr>
        <a:xfrm>
          <a:off x="1467068" y="4963478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34A79290-F3A3-445E-9532-281F8D56C8A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30</xdr:row>
      <xdr:rowOff>132723</xdr:rowOff>
    </xdr:from>
    <xdr:to>
      <xdr:col>3</xdr:col>
      <xdr:colOff>322535</xdr:colOff>
      <xdr:row>32</xdr:row>
      <xdr:rowOff>95893</xdr:rowOff>
    </xdr:to>
    <xdr:sp macro="" textlink="冒険者職業レベル!H7">
      <xdr:nvSpPr>
        <xdr:cNvPr id="49" name="テキスト ボックス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SpPr txBox="1"/>
      </xdr:nvSpPr>
      <xdr:spPr>
        <a:xfrm>
          <a:off x="1467068" y="5125137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139C2A1-508B-4FCE-830E-06922F6B40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31</xdr:row>
      <xdr:rowOff>127968</xdr:rowOff>
    </xdr:from>
    <xdr:to>
      <xdr:col>3</xdr:col>
      <xdr:colOff>322535</xdr:colOff>
      <xdr:row>33</xdr:row>
      <xdr:rowOff>91138</xdr:rowOff>
    </xdr:to>
    <xdr:sp macro="" textlink="冒険者職業レベル!H8">
      <xdr:nvSpPr>
        <xdr:cNvPr id="50" name="テキスト ボックス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SpPr txBox="1"/>
      </xdr:nvSpPr>
      <xdr:spPr>
        <a:xfrm>
          <a:off x="1467068" y="5286796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546EB9B-1333-499D-A8C0-70AC853D012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32</xdr:row>
      <xdr:rowOff>123214</xdr:rowOff>
    </xdr:from>
    <xdr:to>
      <xdr:col>3</xdr:col>
      <xdr:colOff>322535</xdr:colOff>
      <xdr:row>34</xdr:row>
      <xdr:rowOff>86383</xdr:rowOff>
    </xdr:to>
    <xdr:sp macro="" textlink="冒険者職業レベル!H9">
      <xdr:nvSpPr>
        <xdr:cNvPr id="51" name="テキスト ボックス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SpPr txBox="1"/>
      </xdr:nvSpPr>
      <xdr:spPr>
        <a:xfrm>
          <a:off x="1467068" y="5448455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CB5B0D1-DB17-4EBF-B810-23B1ED3EFC6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249620</xdr:colOff>
      <xdr:row>33</xdr:row>
      <xdr:rowOff>118459</xdr:rowOff>
    </xdr:from>
    <xdr:to>
      <xdr:col>3</xdr:col>
      <xdr:colOff>322535</xdr:colOff>
      <xdr:row>35</xdr:row>
      <xdr:rowOff>81628</xdr:rowOff>
    </xdr:to>
    <xdr:sp macro="" textlink="冒険者職業レベル!H10">
      <xdr:nvSpPr>
        <xdr:cNvPr id="52" name="テキスト ボックス 51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SpPr txBox="1"/>
      </xdr:nvSpPr>
      <xdr:spPr>
        <a:xfrm>
          <a:off x="1467068" y="5610114"/>
          <a:ext cx="681639" cy="295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AF48252-1D43-4559-8527-47529E443D2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17149</xdr:colOff>
      <xdr:row>35</xdr:row>
      <xdr:rowOff>121962</xdr:rowOff>
    </xdr:from>
    <xdr:to>
      <xdr:col>5</xdr:col>
      <xdr:colOff>532424</xdr:colOff>
      <xdr:row>41</xdr:row>
      <xdr:rowOff>127000</xdr:rowOff>
    </xdr:to>
    <xdr:sp macro="" textlink="冒険者技能!U1">
      <xdr:nvSpPr>
        <xdr:cNvPr id="53" name="テキスト ボックス 5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SpPr txBox="1"/>
      </xdr:nvSpPr>
      <xdr:spPr>
        <a:xfrm>
          <a:off x="17149" y="5934654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F60D668D-F962-4BBC-ACCA-7827A41C34E4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【頑健】　　　　　　初歩                      249
【幸運】　　　　　　初歩                      253
【荷重行動】　　　　初歩                      258
【挑発】　　　　　　初歩                      261
【武器：投擲】　　　初歩                      257</a:t>
          </a:fld>
          <a:endParaRPr kumimoji="1" lang="ja-JP" altLang="en-US" sz="6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0</xdr:col>
      <xdr:colOff>12264</xdr:colOff>
      <xdr:row>46</xdr:row>
      <xdr:rowOff>99189</xdr:rowOff>
    </xdr:from>
    <xdr:to>
      <xdr:col>5</xdr:col>
      <xdr:colOff>183930</xdr:colOff>
      <xdr:row>50</xdr:row>
      <xdr:rowOff>153276</xdr:rowOff>
    </xdr:to>
    <xdr:sp macro="" textlink="一般技能!M1">
      <xdr:nvSpPr>
        <xdr:cNvPr id="55" name="テキスト ボックス 54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SpPr txBox="1"/>
      </xdr:nvSpPr>
      <xdr:spPr>
        <a:xfrm>
          <a:off x="12264" y="7754223"/>
          <a:ext cx="3215287" cy="719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CC203D7E-8711-4EB9-A854-431B55A32EF0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【騎乗】　　　　　　初歩                      289
【長距離移動】　　　初歩                      289</a:t>
          </a:fld>
          <a:endParaRPr kumimoji="1" lang="ja-JP" altLang="en-US" sz="3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423043</xdr:colOff>
      <xdr:row>46</xdr:row>
      <xdr:rowOff>99189</xdr:rowOff>
    </xdr:from>
    <xdr:to>
      <xdr:col>9</xdr:col>
      <xdr:colOff>594710</xdr:colOff>
      <xdr:row>50</xdr:row>
      <xdr:rowOff>153276</xdr:rowOff>
    </xdr:to>
    <xdr:sp macro="" textlink="一般技能!N1">
      <xdr:nvSpPr>
        <xdr:cNvPr id="56" name="テキスト ボックス 55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2857940" y="7754223"/>
          <a:ext cx="3215287" cy="719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237527A4-D3DD-41B2-A9A1-6DAABDA59B38}" type="TxLink">
            <a:rPr kumimoji="1" lang="en-US" altLang="en-US" sz="900" b="0" i="0" u="none" strike="noStrike">
              <a:solidFill>
                <a:srgbClr val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pPr algn="l"/>
            <a:t> </a:t>
          </a:fld>
          <a:endParaRPr kumimoji="1" lang="ja-JP" altLang="en-US" sz="300"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 editAs="oneCell">
    <xdr:from>
      <xdr:col>10</xdr:col>
      <xdr:colOff>5522</xdr:colOff>
      <xdr:row>0</xdr:row>
      <xdr:rowOff>0</xdr:rowOff>
    </xdr:from>
    <xdr:to>
      <xdr:col>20</xdr:col>
      <xdr:colOff>317998</xdr:colOff>
      <xdr:row>53</xdr:row>
      <xdr:rowOff>0</xdr:rowOff>
    </xdr:to>
    <xdr:pic>
      <xdr:nvPicPr>
        <xdr:cNvPr id="58" name="図 57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9435" y="0"/>
          <a:ext cx="6193128" cy="8779565"/>
        </a:xfrm>
        <a:prstGeom prst="rect">
          <a:avLst/>
        </a:prstGeom>
      </xdr:spPr>
    </xdr:pic>
    <xdr:clientData/>
  </xdr:twoCellAnchor>
  <xdr:twoCellAnchor>
    <xdr:from>
      <xdr:col>12</xdr:col>
      <xdr:colOff>46936</xdr:colOff>
      <xdr:row>3</xdr:row>
      <xdr:rowOff>29307</xdr:rowOff>
    </xdr:from>
    <xdr:to>
      <xdr:col>13</xdr:col>
      <xdr:colOff>119851</xdr:colOff>
      <xdr:row>4</xdr:row>
      <xdr:rowOff>158554</xdr:rowOff>
    </xdr:to>
    <xdr:sp macro="" textlink="能力値!M10">
      <xdr:nvSpPr>
        <xdr:cNvPr id="59" name="テキスト ボックス 58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SpPr txBox="1"/>
      </xdr:nvSpPr>
      <xdr:spPr>
        <a:xfrm>
          <a:off x="7178474" y="52753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AF8174E-DB0C-4CF9-BA24-597D89F7F503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５</a:t>
          </a:fld>
          <a:endParaRPr kumimoji="1" lang="ja-JP" altLang="en-US" sz="3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46936</xdr:colOff>
      <xdr:row>4</xdr:row>
      <xdr:rowOff>7326</xdr:rowOff>
    </xdr:from>
    <xdr:to>
      <xdr:col>13</xdr:col>
      <xdr:colOff>119851</xdr:colOff>
      <xdr:row>5</xdr:row>
      <xdr:rowOff>136573</xdr:rowOff>
    </xdr:to>
    <xdr:sp macro="" textlink="能力値!K10">
      <xdr:nvSpPr>
        <xdr:cNvPr id="60" name="テキスト ボックス 59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7178474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B90FA6E-48AD-469F-99AA-B117CD93BBEE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４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331219</xdr:colOff>
      <xdr:row>3</xdr:row>
      <xdr:rowOff>20514</xdr:rowOff>
    </xdr:from>
    <xdr:to>
      <xdr:col>14</xdr:col>
      <xdr:colOff>404134</xdr:colOff>
      <xdr:row>4</xdr:row>
      <xdr:rowOff>149761</xdr:rowOff>
    </xdr:to>
    <xdr:sp macro="" textlink="冒険者職業レベル!H7">
      <xdr:nvSpPr>
        <xdr:cNvPr id="61" name="テキスト ボックス 60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8073334" y="518745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0D4A9CE-A668-40A1-8825-2C88D3521AB5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253061</xdr:colOff>
      <xdr:row>4</xdr:row>
      <xdr:rowOff>7326</xdr:rowOff>
    </xdr:from>
    <xdr:to>
      <xdr:col>14</xdr:col>
      <xdr:colOff>325976</xdr:colOff>
      <xdr:row>5</xdr:row>
      <xdr:rowOff>136573</xdr:rowOff>
    </xdr:to>
    <xdr:sp macro="" textlink="冒険者職業レベル!H8">
      <xdr:nvSpPr>
        <xdr:cNvPr id="62" name="テキスト ボックス 61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7995176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7456B26-069F-4A54-BCEC-248433E39E03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376152</xdr:colOff>
      <xdr:row>4</xdr:row>
      <xdr:rowOff>7326</xdr:rowOff>
    </xdr:from>
    <xdr:to>
      <xdr:col>15</xdr:col>
      <xdr:colOff>449067</xdr:colOff>
      <xdr:row>5</xdr:row>
      <xdr:rowOff>136573</xdr:rowOff>
    </xdr:to>
    <xdr:sp macro="" textlink="冒険者職業レベル!H9">
      <xdr:nvSpPr>
        <xdr:cNvPr id="63" name="テキスト ボックス 62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8728844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509513F-29F2-48B6-ACE9-344C9B8F64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606704</xdr:colOff>
      <xdr:row>4</xdr:row>
      <xdr:rowOff>7326</xdr:rowOff>
    </xdr:from>
    <xdr:to>
      <xdr:col>17</xdr:col>
      <xdr:colOff>69042</xdr:colOff>
      <xdr:row>5</xdr:row>
      <xdr:rowOff>136573</xdr:rowOff>
    </xdr:to>
    <xdr:sp macro="" textlink="冒険者職業レベル!H10">
      <xdr:nvSpPr>
        <xdr:cNvPr id="64" name="テキスト ボックス 63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9569973" y="67163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6DDA95F-63ED-4BDF-8853-0DE22220A36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478730</xdr:colOff>
      <xdr:row>3</xdr:row>
      <xdr:rowOff>22957</xdr:rowOff>
    </xdr:from>
    <xdr:to>
      <xdr:col>13</xdr:col>
      <xdr:colOff>551645</xdr:colOff>
      <xdr:row>4</xdr:row>
      <xdr:rowOff>152204</xdr:rowOff>
    </xdr:to>
    <xdr:sp macro="" textlink="冒険者職業レベル!I7">
      <xdr:nvSpPr>
        <xdr:cNvPr id="65" name="テキスト ボックス 64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7610268" y="52118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D1039A5-6889-4592-B44B-689B7A17596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474823</xdr:colOff>
      <xdr:row>4</xdr:row>
      <xdr:rowOff>28818</xdr:rowOff>
    </xdr:from>
    <xdr:to>
      <xdr:col>13</xdr:col>
      <xdr:colOff>547738</xdr:colOff>
      <xdr:row>5</xdr:row>
      <xdr:rowOff>158065</xdr:rowOff>
    </xdr:to>
    <xdr:sp macro="" textlink="冒険者職業レベル!I8">
      <xdr:nvSpPr>
        <xdr:cNvPr id="66" name="テキスト ボックス 65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7606361" y="69312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96138C1-6D95-4069-A070-B0EF55177EC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544185</xdr:colOff>
      <xdr:row>4</xdr:row>
      <xdr:rowOff>29795</xdr:rowOff>
    </xdr:from>
    <xdr:to>
      <xdr:col>15</xdr:col>
      <xdr:colOff>6523</xdr:colOff>
      <xdr:row>5</xdr:row>
      <xdr:rowOff>159042</xdr:rowOff>
    </xdr:to>
    <xdr:sp macro="" textlink="冒険者職業レベル!I9">
      <xdr:nvSpPr>
        <xdr:cNvPr id="67" name="テキスト ボックス 66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8286300" y="69410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AAC166B5-CAE3-470C-90EC-DCEE1644BA64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42047</xdr:colOff>
      <xdr:row>4</xdr:row>
      <xdr:rowOff>21003</xdr:rowOff>
    </xdr:from>
    <xdr:to>
      <xdr:col>16</xdr:col>
      <xdr:colOff>114962</xdr:colOff>
      <xdr:row>5</xdr:row>
      <xdr:rowOff>150250</xdr:rowOff>
    </xdr:to>
    <xdr:sp macro="" textlink="冒険者職業レベル!I10">
      <xdr:nvSpPr>
        <xdr:cNvPr id="68" name="テキスト ボックス 67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9005316" y="68531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9AB97EE-4E4C-4CB7-BE4D-61B5C8D93F61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17</xdr:col>
      <xdr:colOff>120703</xdr:colOff>
      <xdr:row>2</xdr:row>
      <xdr:rowOff>39900</xdr:rowOff>
    </xdr:from>
    <xdr:to>
      <xdr:col>18</xdr:col>
      <xdr:colOff>581271</xdr:colOff>
      <xdr:row>7</xdr:row>
      <xdr:rowOff>14654</xdr:rowOff>
    </xdr:to>
    <xdr:sp macro="" textlink="冒険者技能!Q1">
      <xdr:nvSpPr>
        <xdr:cNvPr id="69" name="テキスト ボックス 68">
          <a:extLs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SpPr txBox="1"/>
      </xdr:nvSpPr>
      <xdr:spPr>
        <a:xfrm>
          <a:off x="10305126" y="372054"/>
          <a:ext cx="1071145" cy="8051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A971FDF2-6083-4963-BD2C-4E2E823B6D44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 </a:t>
          </a:fld>
          <a:endParaRPr kumimoji="1" lang="ja-JP" altLang="en-US" sz="3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487528</xdr:colOff>
      <xdr:row>3</xdr:row>
      <xdr:rowOff>113322</xdr:rowOff>
    </xdr:from>
    <xdr:to>
      <xdr:col>19</xdr:col>
      <xdr:colOff>560443</xdr:colOff>
      <xdr:row>5</xdr:row>
      <xdr:rowOff>76492</xdr:rowOff>
    </xdr:to>
    <xdr:sp macro="" textlink="状態!D21">
      <xdr:nvSpPr>
        <xdr:cNvPr id="70" name="テキスト ボックス 69">
          <a:extLst>
            <a:ext uri="{FF2B5EF4-FFF2-40B4-BE49-F238E27FC236}">
              <a16:creationId xmlns=""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11282528" y="61155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504D7E6-AC98-4119-85B1-3B88F05AADDB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5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286280</xdr:colOff>
      <xdr:row>21</xdr:row>
      <xdr:rowOff>29304</xdr:rowOff>
    </xdr:from>
    <xdr:to>
      <xdr:col>19</xdr:col>
      <xdr:colOff>601869</xdr:colOff>
      <xdr:row>26</xdr:row>
      <xdr:rowOff>34192</xdr:rowOff>
    </xdr:to>
    <xdr:sp macro="" textlink="装備!W1">
      <xdr:nvSpPr>
        <xdr:cNvPr id="71" name="テキスト ボックス 70">
          <a:extLst>
            <a:ext uri="{FF2B5EF4-FFF2-40B4-BE49-F238E27FC236}">
              <a16:creationId xmlns=""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6360193" y="3508000"/>
          <a:ext cx="5588850" cy="833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9054BA37-A5E6-4D1C-AA74-FE6F41401F15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小剣　　　　　　片剣　　　　　8    -2    6  1d6     3   ----- 1d6+3 近接</a:t>
          </a:fld>
          <a:endParaRPr kumimoji="1" lang="ja-JP" altLang="en-US" sz="6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12</xdr:col>
      <xdr:colOff>23490</xdr:colOff>
      <xdr:row>17</xdr:row>
      <xdr:rowOff>113322</xdr:rowOff>
    </xdr:from>
    <xdr:to>
      <xdr:col>13</xdr:col>
      <xdr:colOff>96405</xdr:colOff>
      <xdr:row>19</xdr:row>
      <xdr:rowOff>76492</xdr:rowOff>
    </xdr:to>
    <xdr:sp macro="" textlink="能力値!L10">
      <xdr:nvSpPr>
        <xdr:cNvPr id="72" name="テキスト ボックス 71">
          <a:extLst>
            <a:ext uri="{FF2B5EF4-FFF2-40B4-BE49-F238E27FC236}">
              <a16:creationId xmlns="" xmlns:a16="http://schemas.microsoft.com/office/drawing/2014/main" id="{00000000-0008-0000-0500-000048000000}"/>
            </a:ext>
          </a:extLst>
        </xdr:cNvPr>
        <xdr:cNvSpPr txBox="1"/>
      </xdr:nvSpPr>
      <xdr:spPr>
        <a:xfrm>
          <a:off x="7155028" y="293663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E4D4A0B-6E21-4176-8041-5E8A53C034D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５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141696</xdr:colOff>
      <xdr:row>16</xdr:row>
      <xdr:rowOff>104529</xdr:rowOff>
    </xdr:from>
    <xdr:to>
      <xdr:col>14</xdr:col>
      <xdr:colOff>214611</xdr:colOff>
      <xdr:row>18</xdr:row>
      <xdr:rowOff>67699</xdr:rowOff>
    </xdr:to>
    <xdr:sp macro="" textlink="冒険者職業レベル!H3">
      <xdr:nvSpPr>
        <xdr:cNvPr id="73" name="テキスト ボックス 72">
          <a:extLst>
            <a:ext uri="{FF2B5EF4-FFF2-40B4-BE49-F238E27FC236}">
              <a16:creationId xmlns="" xmlns:a16="http://schemas.microsoft.com/office/drawing/2014/main" id="{00000000-0008-0000-0500-000049000000}"/>
            </a:ext>
          </a:extLst>
        </xdr:cNvPr>
        <xdr:cNvSpPr txBox="1"/>
      </xdr:nvSpPr>
      <xdr:spPr>
        <a:xfrm>
          <a:off x="7883811" y="276176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EE3B5F4-351B-4235-AB28-718C4EAC4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3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154397</xdr:colOff>
      <xdr:row>17</xdr:row>
      <xdr:rowOff>102576</xdr:rowOff>
    </xdr:from>
    <xdr:to>
      <xdr:col>14</xdr:col>
      <xdr:colOff>227312</xdr:colOff>
      <xdr:row>19</xdr:row>
      <xdr:rowOff>65746</xdr:rowOff>
    </xdr:to>
    <xdr:sp macro="" textlink="冒険者職業レベル!H5">
      <xdr:nvSpPr>
        <xdr:cNvPr id="74" name="テキスト ボックス 73">
          <a:extLst>
            <a:ext uri="{FF2B5EF4-FFF2-40B4-BE49-F238E27FC236}">
              <a16:creationId xmlns="" xmlns:a16="http://schemas.microsoft.com/office/drawing/2014/main" id="{00000000-0008-0000-0500-00004A000000}"/>
            </a:ext>
          </a:extLst>
        </xdr:cNvPr>
        <xdr:cNvSpPr txBox="1"/>
      </xdr:nvSpPr>
      <xdr:spPr>
        <a:xfrm>
          <a:off x="7896512" y="2925884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38905923-3366-4BAC-8923-1BF585BFF0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240365</xdr:colOff>
      <xdr:row>16</xdr:row>
      <xdr:rowOff>95737</xdr:rowOff>
    </xdr:from>
    <xdr:to>
      <xdr:col>15</xdr:col>
      <xdr:colOff>313280</xdr:colOff>
      <xdr:row>18</xdr:row>
      <xdr:rowOff>58907</xdr:rowOff>
    </xdr:to>
    <xdr:sp macro="" textlink="冒険者職業レベル!H4">
      <xdr:nvSpPr>
        <xdr:cNvPr id="75" name="テキスト ボックス 74">
          <a:extLst>
            <a:ext uri="{FF2B5EF4-FFF2-40B4-BE49-F238E27FC236}">
              <a16:creationId xmlns="" xmlns:a16="http://schemas.microsoft.com/office/drawing/2014/main" id="{00000000-0008-0000-0500-00004B000000}"/>
            </a:ext>
          </a:extLst>
        </xdr:cNvPr>
        <xdr:cNvSpPr txBox="1"/>
      </xdr:nvSpPr>
      <xdr:spPr>
        <a:xfrm>
          <a:off x="8593057" y="275296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E71501A-94A1-4050-BB74-9A67759C3C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135832</xdr:colOff>
      <xdr:row>17</xdr:row>
      <xdr:rowOff>93784</xdr:rowOff>
    </xdr:from>
    <xdr:to>
      <xdr:col>15</xdr:col>
      <xdr:colOff>208747</xdr:colOff>
      <xdr:row>19</xdr:row>
      <xdr:rowOff>56954</xdr:rowOff>
    </xdr:to>
    <xdr:sp macro="" textlink="冒険者職業レベル!H6">
      <xdr:nvSpPr>
        <xdr:cNvPr id="76" name="テキスト ボックス 75">
          <a:extLst>
            <a:ext uri="{FF2B5EF4-FFF2-40B4-BE49-F238E27FC236}">
              <a16:creationId xmlns="" xmlns:a16="http://schemas.microsoft.com/office/drawing/2014/main" id="{00000000-0008-0000-0500-00004C000000}"/>
            </a:ext>
          </a:extLst>
        </xdr:cNvPr>
        <xdr:cNvSpPr txBox="1"/>
      </xdr:nvSpPr>
      <xdr:spPr>
        <a:xfrm>
          <a:off x="8488524" y="2917092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7128719-B99A-41EC-87C4-965F9F79DE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406437</xdr:colOff>
      <xdr:row>16</xdr:row>
      <xdr:rowOff>121626</xdr:rowOff>
    </xdr:from>
    <xdr:to>
      <xdr:col>13</xdr:col>
      <xdr:colOff>479352</xdr:colOff>
      <xdr:row>18</xdr:row>
      <xdr:rowOff>84796</xdr:rowOff>
    </xdr:to>
    <xdr:sp macro="" textlink="冒険者職業レベル!I3">
      <xdr:nvSpPr>
        <xdr:cNvPr id="77" name="テキスト ボックス 76">
          <a:extLst>
            <a:ext uri="{FF2B5EF4-FFF2-40B4-BE49-F238E27FC236}">
              <a16:creationId xmlns="" xmlns:a16="http://schemas.microsoft.com/office/drawing/2014/main" id="{00000000-0008-0000-0500-00004D000000}"/>
            </a:ext>
          </a:extLst>
        </xdr:cNvPr>
        <xdr:cNvSpPr txBox="1"/>
      </xdr:nvSpPr>
      <xdr:spPr>
        <a:xfrm>
          <a:off x="7537975" y="2778857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C1CF71F-CF20-44E5-B29E-4BAC8884AFB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ü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407414</xdr:colOff>
      <xdr:row>17</xdr:row>
      <xdr:rowOff>112834</xdr:rowOff>
    </xdr:from>
    <xdr:to>
      <xdr:col>13</xdr:col>
      <xdr:colOff>480329</xdr:colOff>
      <xdr:row>19</xdr:row>
      <xdr:rowOff>76004</xdr:rowOff>
    </xdr:to>
    <xdr:sp macro="" textlink="冒険者職業レベル!I5">
      <xdr:nvSpPr>
        <xdr:cNvPr id="78" name="テキスト ボックス 77">
          <a:extLst>
            <a:ext uri="{FF2B5EF4-FFF2-40B4-BE49-F238E27FC236}">
              <a16:creationId xmlns="" xmlns:a16="http://schemas.microsoft.com/office/drawing/2014/main" id="{00000000-0008-0000-0500-00004E000000}"/>
            </a:ext>
          </a:extLst>
        </xdr:cNvPr>
        <xdr:cNvSpPr txBox="1"/>
      </xdr:nvSpPr>
      <xdr:spPr>
        <a:xfrm>
          <a:off x="7538952" y="2936142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493DE05C-9D7A-46BA-81E3-7A4CFA26A1A9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402529</xdr:colOff>
      <xdr:row>16</xdr:row>
      <xdr:rowOff>117719</xdr:rowOff>
    </xdr:from>
    <xdr:to>
      <xdr:col>14</xdr:col>
      <xdr:colOff>475444</xdr:colOff>
      <xdr:row>18</xdr:row>
      <xdr:rowOff>80889</xdr:rowOff>
    </xdr:to>
    <xdr:sp macro="" textlink="冒険者職業レベル!I4">
      <xdr:nvSpPr>
        <xdr:cNvPr id="79" name="テキスト ボックス 78">
          <a:extLst>
            <a:ext uri="{FF2B5EF4-FFF2-40B4-BE49-F238E27FC236}">
              <a16:creationId xmlns="" xmlns:a16="http://schemas.microsoft.com/office/drawing/2014/main" id="{00000000-0008-0000-0500-00004F000000}"/>
            </a:ext>
          </a:extLst>
        </xdr:cNvPr>
        <xdr:cNvSpPr txBox="1"/>
      </xdr:nvSpPr>
      <xdr:spPr>
        <a:xfrm>
          <a:off x="8144644" y="277495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596117B4-C535-496F-9BA8-EA9AB944FCE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403506</xdr:colOff>
      <xdr:row>17</xdr:row>
      <xdr:rowOff>108927</xdr:rowOff>
    </xdr:from>
    <xdr:to>
      <xdr:col>14</xdr:col>
      <xdr:colOff>476421</xdr:colOff>
      <xdr:row>19</xdr:row>
      <xdr:rowOff>72097</xdr:rowOff>
    </xdr:to>
    <xdr:sp macro="" textlink="冒険者職業レベル!I6">
      <xdr:nvSpPr>
        <xdr:cNvPr id="80" name="テキスト ボックス 79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SpPr txBox="1"/>
      </xdr:nvSpPr>
      <xdr:spPr>
        <a:xfrm>
          <a:off x="8145621" y="2932235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9DC1237-5492-4CD4-9927-262A1D91F57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546641</xdr:colOff>
      <xdr:row>15</xdr:row>
      <xdr:rowOff>162992</xdr:rowOff>
    </xdr:from>
    <xdr:to>
      <xdr:col>17</xdr:col>
      <xdr:colOff>396632</xdr:colOff>
      <xdr:row>20</xdr:row>
      <xdr:rowOff>137746</xdr:rowOff>
    </xdr:to>
    <xdr:sp macro="" textlink="冒険者技能!R1">
      <xdr:nvSpPr>
        <xdr:cNvPr id="81" name="テキスト ボックス 80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9509910" y="2654146"/>
          <a:ext cx="1071145" cy="8051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68C30137-CFEA-474E-A2DE-F8B8A83DE61E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
【武器：投擲】+1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542236</xdr:colOff>
      <xdr:row>15</xdr:row>
      <xdr:rowOff>45914</xdr:rowOff>
    </xdr:from>
    <xdr:to>
      <xdr:col>20</xdr:col>
      <xdr:colOff>4574</xdr:colOff>
      <xdr:row>17</xdr:row>
      <xdr:rowOff>9084</xdr:rowOff>
    </xdr:to>
    <xdr:sp macro="" textlink="状態!D28">
      <xdr:nvSpPr>
        <xdr:cNvPr id="82" name="テキスト ボックス 81">
          <a:extLst>
            <a:ext uri="{FF2B5EF4-FFF2-40B4-BE49-F238E27FC236}">
              <a16:creationId xmlns=""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11337236" y="253706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CD2A5BD-6BE1-4BDF-90DE-74FC327BBC93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8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548098</xdr:colOff>
      <xdr:row>16</xdr:row>
      <xdr:rowOff>120160</xdr:rowOff>
    </xdr:from>
    <xdr:to>
      <xdr:col>20</xdr:col>
      <xdr:colOff>10436</xdr:colOff>
      <xdr:row>18</xdr:row>
      <xdr:rowOff>83330</xdr:rowOff>
    </xdr:to>
    <xdr:sp macro="" textlink="状態!D29">
      <xdr:nvSpPr>
        <xdr:cNvPr id="83" name="テキスト ボックス 82">
          <a:extLst>
            <a:ext uri="{FF2B5EF4-FFF2-40B4-BE49-F238E27FC236}">
              <a16:creationId xmlns=""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11343098" y="277739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F0A12A59-0883-4ECD-86E3-4ACFB6918183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6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544190</xdr:colOff>
      <xdr:row>18</xdr:row>
      <xdr:rowOff>3906</xdr:rowOff>
    </xdr:from>
    <xdr:to>
      <xdr:col>20</xdr:col>
      <xdr:colOff>6528</xdr:colOff>
      <xdr:row>19</xdr:row>
      <xdr:rowOff>133153</xdr:rowOff>
    </xdr:to>
    <xdr:sp macro="" textlink="状態!D30">
      <xdr:nvSpPr>
        <xdr:cNvPr id="84" name="テキスト ボックス 83">
          <a:extLst>
            <a:ext uri="{FF2B5EF4-FFF2-40B4-BE49-F238E27FC236}">
              <a16:creationId xmlns=""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11339190" y="299329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CC7FAFF-F80D-4DFF-B4EF-C5A2486168DE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5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43029</xdr:colOff>
      <xdr:row>5</xdr:row>
      <xdr:rowOff>147512</xdr:rowOff>
    </xdr:from>
    <xdr:to>
      <xdr:col>20</xdr:col>
      <xdr:colOff>137748</xdr:colOff>
      <xdr:row>11</xdr:row>
      <xdr:rowOff>34192</xdr:rowOff>
    </xdr:to>
    <xdr:sp macro="" textlink="習得呪文!J1">
      <xdr:nvSpPr>
        <xdr:cNvPr id="85" name="テキスト ボックス 84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SpPr txBox="1"/>
      </xdr:nvSpPr>
      <xdr:spPr>
        <a:xfrm>
          <a:off x="6148798" y="977897"/>
          <a:ext cx="6005104" cy="883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18B124EE-94A5-4BB2-AF1A-5E3B5F0321FC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5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12</xdr:col>
      <xdr:colOff>348799</xdr:colOff>
      <xdr:row>27</xdr:row>
      <xdr:rowOff>122603</xdr:rowOff>
    </xdr:from>
    <xdr:to>
      <xdr:col>13</xdr:col>
      <xdr:colOff>421714</xdr:colOff>
      <xdr:row>29</xdr:row>
      <xdr:rowOff>85773</xdr:rowOff>
    </xdr:to>
    <xdr:sp macro="" textlink="冒険者職業レベル!I3">
      <xdr:nvSpPr>
        <xdr:cNvPr id="86" name="テキスト ボックス 85">
          <a:extLs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SpPr txBox="1"/>
      </xdr:nvSpPr>
      <xdr:spPr>
        <a:xfrm>
          <a:off x="7480337" y="460668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C1CF71F-CF20-44E5-B29E-4BAC8884AFB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ü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344891</xdr:colOff>
      <xdr:row>27</xdr:row>
      <xdr:rowOff>118696</xdr:rowOff>
    </xdr:from>
    <xdr:to>
      <xdr:col>14</xdr:col>
      <xdr:colOff>417806</xdr:colOff>
      <xdr:row>29</xdr:row>
      <xdr:rowOff>81866</xdr:rowOff>
    </xdr:to>
    <xdr:sp macro="" textlink="冒険者職業レベル!I4">
      <xdr:nvSpPr>
        <xdr:cNvPr id="87" name="テキスト ボックス 86">
          <a:extLs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SpPr txBox="1"/>
      </xdr:nvSpPr>
      <xdr:spPr>
        <a:xfrm>
          <a:off x="8087006" y="460277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596117B4-C535-496F-9BA8-EA9AB944FCE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438675</xdr:colOff>
      <xdr:row>27</xdr:row>
      <xdr:rowOff>119673</xdr:rowOff>
    </xdr:from>
    <xdr:to>
      <xdr:col>15</xdr:col>
      <xdr:colOff>511590</xdr:colOff>
      <xdr:row>29</xdr:row>
      <xdr:rowOff>82843</xdr:rowOff>
    </xdr:to>
    <xdr:sp macro="" textlink="冒険者職業レベル!I6">
      <xdr:nvSpPr>
        <xdr:cNvPr id="88" name="テキスト ボックス 87">
          <a:extLs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SpPr txBox="1"/>
      </xdr:nvSpPr>
      <xdr:spPr>
        <a:xfrm>
          <a:off x="8791367" y="460375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9DC1237-5492-4CD4-9927-262A1D91F57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182727</xdr:colOff>
      <xdr:row>27</xdr:row>
      <xdr:rowOff>106483</xdr:rowOff>
    </xdr:from>
    <xdr:to>
      <xdr:col>15</xdr:col>
      <xdr:colOff>255642</xdr:colOff>
      <xdr:row>29</xdr:row>
      <xdr:rowOff>69653</xdr:rowOff>
    </xdr:to>
    <xdr:sp macro="" textlink="冒険者職業レベル!H4">
      <xdr:nvSpPr>
        <xdr:cNvPr id="89" name="テキスト ボックス 88">
          <a:extLs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SpPr txBox="1"/>
      </xdr:nvSpPr>
      <xdr:spPr>
        <a:xfrm>
          <a:off x="8535419" y="459056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CE71501A-94A1-4050-BB74-9A67759C3C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88942</xdr:colOff>
      <xdr:row>27</xdr:row>
      <xdr:rowOff>100621</xdr:rowOff>
    </xdr:from>
    <xdr:to>
      <xdr:col>14</xdr:col>
      <xdr:colOff>161857</xdr:colOff>
      <xdr:row>29</xdr:row>
      <xdr:rowOff>63791</xdr:rowOff>
    </xdr:to>
    <xdr:sp macro="" textlink="冒険者職業レベル!H3">
      <xdr:nvSpPr>
        <xdr:cNvPr id="91" name="テキスト ボックス 90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SpPr txBox="1"/>
      </xdr:nvSpPr>
      <xdr:spPr>
        <a:xfrm>
          <a:off x="7831057" y="4584698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EE3B5F4-351B-4235-AB28-718C4EAC4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3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180770</xdr:colOff>
      <xdr:row>27</xdr:row>
      <xdr:rowOff>114299</xdr:rowOff>
    </xdr:from>
    <xdr:to>
      <xdr:col>16</xdr:col>
      <xdr:colOff>253685</xdr:colOff>
      <xdr:row>29</xdr:row>
      <xdr:rowOff>77469</xdr:rowOff>
    </xdr:to>
    <xdr:sp macro="" textlink="冒険者職業レベル!H6">
      <xdr:nvSpPr>
        <xdr:cNvPr id="92" name="テキスト ボックス 91">
          <a:extLst>
            <a:ext uri="{FF2B5EF4-FFF2-40B4-BE49-F238E27FC236}">
              <a16:creationId xmlns="" xmlns:a16="http://schemas.microsoft.com/office/drawing/2014/main" id="{00000000-0008-0000-0500-00005C000000}"/>
            </a:ext>
          </a:extLst>
        </xdr:cNvPr>
        <xdr:cNvSpPr txBox="1"/>
      </xdr:nvSpPr>
      <xdr:spPr>
        <a:xfrm>
          <a:off x="9144039" y="459837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7128719-B99A-41EC-87C4-965F9F79DE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11</xdr:col>
      <xdr:colOff>385928</xdr:colOff>
      <xdr:row>27</xdr:row>
      <xdr:rowOff>128953</xdr:rowOff>
    </xdr:from>
    <xdr:to>
      <xdr:col>13</xdr:col>
      <xdr:colOff>43651</xdr:colOff>
      <xdr:row>29</xdr:row>
      <xdr:rowOff>92123</xdr:rowOff>
    </xdr:to>
    <xdr:sp macro="" textlink="能力値!L12">
      <xdr:nvSpPr>
        <xdr:cNvPr id="93" name="テキスト ボックス 92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SpPr txBox="1"/>
      </xdr:nvSpPr>
      <xdr:spPr>
        <a:xfrm>
          <a:off x="7102274" y="4613030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A160029-F197-4844-90B1-DD682573D31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５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16</xdr:col>
      <xdr:colOff>342464</xdr:colOff>
      <xdr:row>27</xdr:row>
      <xdr:rowOff>141653</xdr:rowOff>
    </xdr:from>
    <xdr:to>
      <xdr:col>19</xdr:col>
      <xdr:colOff>83038</xdr:colOff>
      <xdr:row>30</xdr:row>
      <xdr:rowOff>87923</xdr:rowOff>
    </xdr:to>
    <xdr:sp macro="" textlink="冒険者技能!S1">
      <xdr:nvSpPr>
        <xdr:cNvPr id="94" name="テキスト ボックス 93">
          <a:extLs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SpPr txBox="1"/>
      </xdr:nvSpPr>
      <xdr:spPr>
        <a:xfrm>
          <a:off x="9916310" y="4625730"/>
          <a:ext cx="1572305" cy="444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530E50C1-7F0B-4499-B4FB-60C73F1B59D9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 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537351</xdr:colOff>
      <xdr:row>27</xdr:row>
      <xdr:rowOff>99645</xdr:rowOff>
    </xdr:from>
    <xdr:to>
      <xdr:col>19</xdr:col>
      <xdr:colOff>610266</xdr:colOff>
      <xdr:row>29</xdr:row>
      <xdr:rowOff>62815</xdr:rowOff>
    </xdr:to>
    <xdr:sp macro="" textlink="状態!D38">
      <xdr:nvSpPr>
        <xdr:cNvPr id="95" name="テキスト ボックス 94">
          <a:extLst>
            <a:ext uri="{FF2B5EF4-FFF2-40B4-BE49-F238E27FC236}">
              <a16:creationId xmlns="" xmlns:a16="http://schemas.microsoft.com/office/drawing/2014/main" id="{00000000-0008-0000-0500-00005F000000}"/>
            </a:ext>
          </a:extLst>
        </xdr:cNvPr>
        <xdr:cNvSpPr txBox="1"/>
      </xdr:nvSpPr>
      <xdr:spPr>
        <a:xfrm>
          <a:off x="11332351" y="4583722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E2B186EE-6F27-42EC-B4B3-EC2F3F36FCF9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8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286280</xdr:colOff>
      <xdr:row>31</xdr:row>
      <xdr:rowOff>152399</xdr:rowOff>
    </xdr:from>
    <xdr:to>
      <xdr:col>20</xdr:col>
      <xdr:colOff>116254</xdr:colOff>
      <xdr:row>33</xdr:row>
      <xdr:rowOff>151424</xdr:rowOff>
    </xdr:to>
    <xdr:sp macro="" textlink="装備!W13">
      <xdr:nvSpPr>
        <xdr:cNvPr id="96" name="テキスト ボックス 95">
          <a:extLst>
            <a:ext uri="{FF2B5EF4-FFF2-40B4-BE49-F238E27FC236}">
              <a16:creationId xmlns="" xmlns:a16="http://schemas.microsoft.com/office/drawing/2014/main" id="{00000000-0008-0000-0500-000060000000}"/>
            </a:ext>
          </a:extLst>
        </xdr:cNvPr>
        <xdr:cNvSpPr txBox="1"/>
      </xdr:nvSpPr>
      <xdr:spPr>
        <a:xfrm>
          <a:off x="6392049" y="5300784"/>
          <a:ext cx="5740359" cy="331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54D18A42-2C32-40F9-BF51-1EB725C1BEC5}" type="TxLink">
            <a:rPr kumimoji="1" lang="ja-JP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革鎧　　　　　 軽鎧   8      0    8     2  普通   21     0      0   21   なし</a:t>
          </a:fld>
          <a:endParaRPr kumimoji="1" lang="ja-JP" altLang="en-US" sz="4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13</xdr:col>
      <xdr:colOff>70380</xdr:colOff>
      <xdr:row>34</xdr:row>
      <xdr:rowOff>77176</xdr:rowOff>
    </xdr:from>
    <xdr:to>
      <xdr:col>14</xdr:col>
      <xdr:colOff>143295</xdr:colOff>
      <xdr:row>36</xdr:row>
      <xdr:rowOff>40346</xdr:rowOff>
    </xdr:to>
    <xdr:sp macro="" textlink="冒険者職業レベル!H3">
      <xdr:nvSpPr>
        <xdr:cNvPr id="98" name="テキスト ボックス 97">
          <a:extLs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SpPr txBox="1"/>
      </xdr:nvSpPr>
      <xdr:spPr>
        <a:xfrm>
          <a:off x="7812495" y="5723791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2EE3B5F4-351B-4235-AB28-718C4EAC4E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3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14</xdr:col>
      <xdr:colOff>69400</xdr:colOff>
      <xdr:row>34</xdr:row>
      <xdr:rowOff>90854</xdr:rowOff>
    </xdr:from>
    <xdr:to>
      <xdr:col>15</xdr:col>
      <xdr:colOff>142315</xdr:colOff>
      <xdr:row>36</xdr:row>
      <xdr:rowOff>54024</xdr:rowOff>
    </xdr:to>
    <xdr:sp macro="" textlink="冒険者職業レベル!H6">
      <xdr:nvSpPr>
        <xdr:cNvPr id="99" name="テキスト ボックス 98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SpPr txBox="1"/>
      </xdr:nvSpPr>
      <xdr:spPr>
        <a:xfrm>
          <a:off x="8422092" y="5737469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17128719-B99A-41EC-87C4-965F9F79DE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11</xdr:col>
      <xdr:colOff>367366</xdr:colOff>
      <xdr:row>34</xdr:row>
      <xdr:rowOff>105508</xdr:rowOff>
    </xdr:from>
    <xdr:to>
      <xdr:col>13</xdr:col>
      <xdr:colOff>25089</xdr:colOff>
      <xdr:row>36</xdr:row>
      <xdr:rowOff>68678</xdr:rowOff>
    </xdr:to>
    <xdr:sp macro="" textlink="能力値!L12">
      <xdr:nvSpPr>
        <xdr:cNvPr id="100" name="テキスト ボックス 99">
          <a:extLs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SpPr txBox="1"/>
      </xdr:nvSpPr>
      <xdr:spPr>
        <a:xfrm>
          <a:off x="7083712" y="5752123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BA160029-F197-4844-90B1-DD682573D314}" type="TxLink">
            <a:rPr kumimoji="1" lang="en-US" altLang="en-US" sz="9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５</a:t>
          </a:fld>
          <a:endParaRPr kumimoji="1" lang="ja-JP" altLang="en-US" sz="6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16</xdr:col>
      <xdr:colOff>323902</xdr:colOff>
      <xdr:row>34</xdr:row>
      <xdr:rowOff>118208</xdr:rowOff>
    </xdr:from>
    <xdr:to>
      <xdr:col>19</xdr:col>
      <xdr:colOff>64476</xdr:colOff>
      <xdr:row>37</xdr:row>
      <xdr:rowOff>64478</xdr:rowOff>
    </xdr:to>
    <xdr:sp macro="" textlink="冒険者技能!T1">
      <xdr:nvSpPr>
        <xdr:cNvPr id="101" name="テキスト ボックス 100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SpPr txBox="1"/>
      </xdr:nvSpPr>
      <xdr:spPr>
        <a:xfrm>
          <a:off x="9897748" y="5764823"/>
          <a:ext cx="1572305" cy="444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6E073566-2F2A-48EE-A62C-918443C8BFEF}" type="TxLink">
            <a:rPr kumimoji="1" lang="en-US" altLang="en-US" sz="6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l"/>
            <a:t> 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321444</xdr:colOff>
      <xdr:row>34</xdr:row>
      <xdr:rowOff>95251</xdr:rowOff>
    </xdr:from>
    <xdr:to>
      <xdr:col>14</xdr:col>
      <xdr:colOff>394359</xdr:colOff>
      <xdr:row>36</xdr:row>
      <xdr:rowOff>58421</xdr:rowOff>
    </xdr:to>
    <xdr:sp macro="" textlink="冒険者職業レベル!I6">
      <xdr:nvSpPr>
        <xdr:cNvPr id="102" name="テキスト ボックス 101">
          <a:extLst>
            <a:ext uri="{FF2B5EF4-FFF2-40B4-BE49-F238E27FC236}">
              <a16:creationId xmlns="" xmlns:a16="http://schemas.microsoft.com/office/drawing/2014/main" id="{00000000-0008-0000-0500-000066000000}"/>
            </a:ext>
          </a:extLst>
        </xdr:cNvPr>
        <xdr:cNvSpPr txBox="1"/>
      </xdr:nvSpPr>
      <xdr:spPr>
        <a:xfrm>
          <a:off x="8063559" y="574186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79DC1237-5492-4CD4-9927-262A1D91F57A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 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12</xdr:col>
      <xdr:colOff>339029</xdr:colOff>
      <xdr:row>34</xdr:row>
      <xdr:rowOff>98181</xdr:rowOff>
    </xdr:from>
    <xdr:to>
      <xdr:col>13</xdr:col>
      <xdr:colOff>411944</xdr:colOff>
      <xdr:row>36</xdr:row>
      <xdr:rowOff>61351</xdr:rowOff>
    </xdr:to>
    <xdr:sp macro="" textlink="冒険者職業レベル!I3">
      <xdr:nvSpPr>
        <xdr:cNvPr id="103" name="テキスト ボックス 102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SpPr txBox="1"/>
      </xdr:nvSpPr>
      <xdr:spPr>
        <a:xfrm>
          <a:off x="7470567" y="574479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0C1CF71F-CF20-44E5-B29E-4BAC8884AFBE}" type="TxLink">
            <a:rPr kumimoji="1" lang="en-US" altLang="en-US" sz="1100" b="0" i="0" u="none" strike="noStrike">
              <a:solidFill>
                <a:srgbClr val="000000"/>
              </a:solidFill>
              <a:latin typeface="Wingdings"/>
              <a:ea typeface="Meiryo UI" panose="020B0604030504040204" pitchFamily="50" charset="-128"/>
            </a:rPr>
            <a:pPr algn="r"/>
            <a:t>ü</a:t>
          </a:fld>
          <a:endParaRPr kumimoji="1" lang="ja-JP" altLang="en-US" sz="900">
            <a:latin typeface="Wingdings" panose="05000000000000000000" pitchFamily="2" charset="2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582290</xdr:colOff>
      <xdr:row>34</xdr:row>
      <xdr:rowOff>56661</xdr:rowOff>
    </xdr:from>
    <xdr:to>
      <xdr:col>20</xdr:col>
      <xdr:colOff>44628</xdr:colOff>
      <xdr:row>36</xdr:row>
      <xdr:rowOff>19831</xdr:rowOff>
    </xdr:to>
    <xdr:sp macro="" textlink="状態!D43">
      <xdr:nvSpPr>
        <xdr:cNvPr id="104" name="テキスト ボックス 103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SpPr txBox="1"/>
      </xdr:nvSpPr>
      <xdr:spPr>
        <a:xfrm>
          <a:off x="11377290" y="5703276"/>
          <a:ext cx="683492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F62CB3A-88EC-41C5-9102-E7E6561ACC52}" type="TxLink">
            <a:rPr kumimoji="1" lang="en-US" altLang="en-US" sz="1000" b="0" i="0" u="none" strike="noStrike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pPr algn="r"/>
            <a:t>8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223757</xdr:colOff>
      <xdr:row>38</xdr:row>
      <xdr:rowOff>104531</xdr:rowOff>
    </xdr:from>
    <xdr:to>
      <xdr:col>20</xdr:col>
      <xdr:colOff>53731</xdr:colOff>
      <xdr:row>40</xdr:row>
      <xdr:rowOff>103555</xdr:rowOff>
    </xdr:to>
    <xdr:sp macro="" textlink="装備!W17">
      <xdr:nvSpPr>
        <xdr:cNvPr id="105" name="テキスト ボックス 104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SpPr txBox="1"/>
      </xdr:nvSpPr>
      <xdr:spPr>
        <a:xfrm>
          <a:off x="6329526" y="6415454"/>
          <a:ext cx="5740359" cy="331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D3E04497-AEA2-4B04-B93D-11FD53ABD5C7}" type="TxLink">
            <a:rPr kumimoji="1" lang="ja-JP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円盾　　　　　　　　小型盾   8      4   12     3    2     5   普通  なし</a:t>
          </a:fld>
          <a:endParaRPr kumimoji="1" lang="ja-JP" altLang="en-US" sz="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18</xdr:col>
      <xdr:colOff>94804</xdr:colOff>
      <xdr:row>48</xdr:row>
      <xdr:rowOff>155330</xdr:rowOff>
    </xdr:from>
    <xdr:to>
      <xdr:col>19</xdr:col>
      <xdr:colOff>512884</xdr:colOff>
      <xdr:row>50</xdr:row>
      <xdr:rowOff>118500</xdr:rowOff>
    </xdr:to>
    <xdr:sp macro="" textlink="テキストシート!B58">
      <xdr:nvSpPr>
        <xdr:cNvPr id="106" name="テキスト ボックス 105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SpPr txBox="1"/>
      </xdr:nvSpPr>
      <xdr:spPr>
        <a:xfrm>
          <a:off x="10889804" y="8127022"/>
          <a:ext cx="1028657" cy="29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55BEBF99-31CC-48A8-96B8-0440EA01AAE7}" type="TxLink">
            <a:rPr kumimoji="1" lang="ja-JP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銀貨：5</a:t>
          </a:fld>
          <a:endParaRPr kumimoji="1" lang="ja-JP" altLang="en-US" sz="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10</xdr:col>
      <xdr:colOff>317542</xdr:colOff>
      <xdr:row>44</xdr:row>
      <xdr:rowOff>56661</xdr:rowOff>
    </xdr:from>
    <xdr:to>
      <xdr:col>14</xdr:col>
      <xdr:colOff>68385</xdr:colOff>
      <xdr:row>50</xdr:row>
      <xdr:rowOff>43961</xdr:rowOff>
    </xdr:to>
    <xdr:sp macro="" textlink="その他の所持品!L1">
      <xdr:nvSpPr>
        <xdr:cNvPr id="107" name="テキスト ボックス 106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SpPr txBox="1"/>
      </xdr:nvSpPr>
      <xdr:spPr>
        <a:xfrm>
          <a:off x="6423311" y="7364046"/>
          <a:ext cx="1997766" cy="9837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7371C265-8891-4D10-8BB3-70A7BF6DE6BC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
治癒の水薬</a:t>
          </a:fld>
          <a:endParaRPr kumimoji="1" lang="ja-JP" altLang="en-US" sz="1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0</xdr:col>
      <xdr:colOff>32780</xdr:colOff>
      <xdr:row>40</xdr:row>
      <xdr:rowOff>83861</xdr:rowOff>
    </xdr:from>
    <xdr:to>
      <xdr:col>5</xdr:col>
      <xdr:colOff>548055</xdr:colOff>
      <xdr:row>46</xdr:row>
      <xdr:rowOff>88900</xdr:rowOff>
    </xdr:to>
    <xdr:sp macro="" textlink="冒険者技能!V1">
      <xdr:nvSpPr>
        <xdr:cNvPr id="108" name="テキスト ボックス 107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SpPr txBox="1"/>
      </xdr:nvSpPr>
      <xdr:spPr>
        <a:xfrm>
          <a:off x="32780" y="6726938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6A227C2E-AFFC-479A-A5FA-2ED5F93F87BF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428421</xdr:colOff>
      <xdr:row>35</xdr:row>
      <xdr:rowOff>103397</xdr:rowOff>
    </xdr:from>
    <xdr:to>
      <xdr:col>10</xdr:col>
      <xdr:colOff>333120</xdr:colOff>
      <xdr:row>41</xdr:row>
      <xdr:rowOff>108435</xdr:rowOff>
    </xdr:to>
    <xdr:sp macro="" textlink="冒険者技能!W1">
      <xdr:nvSpPr>
        <xdr:cNvPr id="112" name="テキスト ボックス 111">
          <a:extLst>
            <a:ext uri="{FF2B5EF4-FFF2-40B4-BE49-F238E27FC236}">
              <a16:creationId xmlns="" xmlns:a16="http://schemas.microsoft.com/office/drawing/2014/main" id="{00000000-0008-0000-0500-000070000000}"/>
            </a:ext>
          </a:extLst>
        </xdr:cNvPr>
        <xdr:cNvSpPr txBox="1"/>
      </xdr:nvSpPr>
      <xdr:spPr>
        <a:xfrm>
          <a:off x="2870729" y="5916089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3C60D153-3AA7-471D-8EEF-B0B81DE2982F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444052</xdr:colOff>
      <xdr:row>40</xdr:row>
      <xdr:rowOff>65296</xdr:rowOff>
    </xdr:from>
    <xdr:to>
      <xdr:col>10</xdr:col>
      <xdr:colOff>348751</xdr:colOff>
      <xdr:row>46</xdr:row>
      <xdr:rowOff>70335</xdr:rowOff>
    </xdr:to>
    <xdr:sp macro="" textlink="冒険者技能!X1">
      <xdr:nvSpPr>
        <xdr:cNvPr id="113" name="テキスト ボックス 112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SpPr txBox="1"/>
      </xdr:nvSpPr>
      <xdr:spPr>
        <a:xfrm>
          <a:off x="2886360" y="6708373"/>
          <a:ext cx="3568160" cy="100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55242AE4-8BED-4354-B24C-69619EEB7265}" type="TxLink">
            <a:rPr kumimoji="1" lang="en-US" altLang="en-US" sz="9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9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10</xdr:col>
      <xdr:colOff>34237</xdr:colOff>
      <xdr:row>9</xdr:row>
      <xdr:rowOff>1951</xdr:rowOff>
    </xdr:from>
    <xdr:to>
      <xdr:col>20</xdr:col>
      <xdr:colOff>128956</xdr:colOff>
      <xdr:row>14</xdr:row>
      <xdr:rowOff>54707</xdr:rowOff>
    </xdr:to>
    <xdr:sp macro="" textlink="習得呪文!K1">
      <xdr:nvSpPr>
        <xdr:cNvPr id="114" name="テキスト ボックス 113">
          <a:extLs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SpPr txBox="1"/>
      </xdr:nvSpPr>
      <xdr:spPr>
        <a:xfrm>
          <a:off x="6140006" y="1496643"/>
          <a:ext cx="6005104" cy="8831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9B5285E0-0A92-4D47-AB32-FDCBC42F9444}" type="TxLink">
            <a:rPr kumimoji="1" lang="en-US" altLang="en-US" sz="1000" b="0" i="0" u="none" strike="noStrike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pPr algn="l"/>
            <a:t> </a:t>
          </a:fld>
          <a:endParaRPr kumimoji="1" lang="ja-JP" altLang="en-US" sz="3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8</xdr:col>
      <xdr:colOff>61410</xdr:colOff>
      <xdr:row>21</xdr:row>
      <xdr:rowOff>120514</xdr:rowOff>
    </xdr:from>
    <xdr:to>
      <xdr:col>9</xdr:col>
      <xdr:colOff>134324</xdr:colOff>
      <xdr:row>23</xdr:row>
      <xdr:rowOff>83683</xdr:rowOff>
    </xdr:to>
    <xdr:sp macro="" textlink="戦闘現在値!L28">
      <xdr:nvSpPr>
        <xdr:cNvPr id="109" name="テキスト ボックス 108">
          <a:extLs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SpPr txBox="1"/>
      </xdr:nvSpPr>
      <xdr:spPr>
        <a:xfrm>
          <a:off x="4946025" y="3608129"/>
          <a:ext cx="683491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D62E05C6-306E-44C9-95A1-2E0FD1427352}" type="TxLink">
            <a:rPr kumimoji="1" lang="en-US" altLang="en-US" sz="11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0</a:t>
          </a:fld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1020</xdr:colOff>
      <xdr:row>21</xdr:row>
      <xdr:rowOff>67409</xdr:rowOff>
    </xdr:from>
    <xdr:to>
      <xdr:col>13</xdr:col>
      <xdr:colOff>527539</xdr:colOff>
      <xdr:row>26</xdr:row>
      <xdr:rowOff>24423</xdr:rowOff>
    </xdr:to>
    <xdr:sp macro="" textlink="装備!AF1">
      <xdr:nvSpPr>
        <xdr:cNvPr id="110" name="テキスト ボックス 109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SpPr txBox="1"/>
      </xdr:nvSpPr>
      <xdr:spPr>
        <a:xfrm>
          <a:off x="7743135" y="3555024"/>
          <a:ext cx="526519" cy="787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3204D804-142E-4E1C-BA47-971E1D9BC095}" type="TxLink">
            <a:rPr kumimoji="1" lang="en-US" altLang="en-US" sz="55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
片手/
斬刺殴</a:t>
          </a:fld>
          <a:endParaRPr kumimoji="1" lang="ja-JP" altLang="en-US" sz="55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18</xdr:col>
      <xdr:colOff>192496</xdr:colOff>
      <xdr:row>21</xdr:row>
      <xdr:rowOff>78154</xdr:rowOff>
    </xdr:from>
    <xdr:to>
      <xdr:col>20</xdr:col>
      <xdr:colOff>151423</xdr:colOff>
      <xdr:row>26</xdr:row>
      <xdr:rowOff>35168</xdr:rowOff>
    </xdr:to>
    <xdr:sp macro="" textlink="装備!AG1">
      <xdr:nvSpPr>
        <xdr:cNvPr id="111" name="テキスト ボックス 110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SpPr txBox="1"/>
      </xdr:nvSpPr>
      <xdr:spPr>
        <a:xfrm>
          <a:off x="10987496" y="3565769"/>
          <a:ext cx="1180081" cy="787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EAF11598-1097-4CEA-BBFE-FCA1A9DE61A9}" type="TxLink">
            <a:rPr kumimoji="1" lang="en-US" altLang="en-US" sz="55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
投擲適用、受け流し(+0)、強打・斬(+0)、刺突(+1)</a:t>
          </a:fld>
          <a:endParaRPr kumimoji="1" lang="ja-JP" altLang="en-US" sz="55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</xdr:col>
      <xdr:colOff>39077</xdr:colOff>
      <xdr:row>33</xdr:row>
      <xdr:rowOff>24423</xdr:rowOff>
    </xdr:from>
    <xdr:to>
      <xdr:col>9</xdr:col>
      <xdr:colOff>268654</xdr:colOff>
      <xdr:row>35</xdr:row>
      <xdr:rowOff>53730</xdr:rowOff>
    </xdr:to>
    <xdr:sp macro="" textlink="">
      <xdr:nvSpPr>
        <xdr:cNvPr id="13" name="正方形/長方形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/>
      </xdr:nvSpPr>
      <xdr:spPr>
        <a:xfrm>
          <a:off x="2481385" y="5504961"/>
          <a:ext cx="3282461" cy="36146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204037</xdr:colOff>
      <xdr:row>32</xdr:row>
      <xdr:rowOff>136144</xdr:rowOff>
    </xdr:from>
    <xdr:to>
      <xdr:col>9</xdr:col>
      <xdr:colOff>317498</xdr:colOff>
      <xdr:row>34</xdr:row>
      <xdr:rowOff>99314</xdr:rowOff>
    </xdr:to>
    <xdr:sp macro="" textlink="テキストシート!B24">
      <xdr:nvSpPr>
        <xdr:cNvPr id="115" name="テキスト ボックス 114">
          <a:extLst>
            <a:ext uri="{FF2B5EF4-FFF2-40B4-BE49-F238E27FC236}">
              <a16:creationId xmlns="" xmlns:a16="http://schemas.microsoft.com/office/drawing/2014/main" id="{00000000-0008-0000-0500-000073000000}"/>
            </a:ext>
          </a:extLst>
        </xdr:cNvPr>
        <xdr:cNvSpPr txBox="1"/>
      </xdr:nvSpPr>
      <xdr:spPr>
        <a:xfrm>
          <a:off x="2035768" y="5450606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38FD7110-2EA4-4B67-AB9E-8077D1A10AE3}" type="TxLink">
            <a:rPr kumimoji="1" lang="en-US" altLang="en-US" sz="85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□□□□○　5　□□○□□10　○□□○□15　○□○□○20　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200129</xdr:colOff>
      <xdr:row>33</xdr:row>
      <xdr:rowOff>127353</xdr:rowOff>
    </xdr:from>
    <xdr:to>
      <xdr:col>9</xdr:col>
      <xdr:colOff>313590</xdr:colOff>
      <xdr:row>35</xdr:row>
      <xdr:rowOff>90522</xdr:rowOff>
    </xdr:to>
    <xdr:sp macro="" textlink="テキストシート!B25">
      <xdr:nvSpPr>
        <xdr:cNvPr id="116" name="テキスト ボックス 115">
          <a:extLst>
            <a:ext uri="{FF2B5EF4-FFF2-40B4-BE49-F238E27FC236}">
              <a16:creationId xmlns="" xmlns:a16="http://schemas.microsoft.com/office/drawing/2014/main" id="{00000000-0008-0000-0500-000074000000}"/>
            </a:ext>
          </a:extLst>
        </xdr:cNvPr>
        <xdr:cNvSpPr txBox="1"/>
      </xdr:nvSpPr>
      <xdr:spPr>
        <a:xfrm>
          <a:off x="2031860" y="5607891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8EC660AD-6731-4E9B-B053-CE594509D96F}" type="TxLink">
            <a:rPr kumimoji="1" lang="en-US" altLang="en-US" sz="85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r"/>
            <a:t>○○○○○25　○○○○○30　○○○○○35　○○○○○40　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48846</xdr:colOff>
      <xdr:row>26</xdr:row>
      <xdr:rowOff>97692</xdr:rowOff>
    </xdr:from>
    <xdr:to>
      <xdr:col>9</xdr:col>
      <xdr:colOff>283308</xdr:colOff>
      <xdr:row>31</xdr:row>
      <xdr:rowOff>43961</xdr:rowOff>
    </xdr:to>
    <xdr:sp macro="" textlink="">
      <xdr:nvSpPr>
        <xdr:cNvPr id="54" name="正方形/長方形 53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SpPr/>
      </xdr:nvSpPr>
      <xdr:spPr>
        <a:xfrm>
          <a:off x="2491154" y="4415692"/>
          <a:ext cx="3287346" cy="77665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102577</xdr:colOff>
      <xdr:row>25</xdr:row>
      <xdr:rowOff>78154</xdr:rowOff>
    </xdr:from>
    <xdr:to>
      <xdr:col>8</xdr:col>
      <xdr:colOff>454270</xdr:colOff>
      <xdr:row>26</xdr:row>
      <xdr:rowOff>131885</xdr:rowOff>
    </xdr:to>
    <xdr:sp macro="" textlink="">
      <xdr:nvSpPr>
        <xdr:cNvPr id="57" name="正方形/長方形 56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SpPr/>
      </xdr:nvSpPr>
      <xdr:spPr>
        <a:xfrm>
          <a:off x="3155462" y="4230077"/>
          <a:ext cx="2183423" cy="21980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517629</xdr:colOff>
      <xdr:row>29</xdr:row>
      <xdr:rowOff>133213</xdr:rowOff>
    </xdr:from>
    <xdr:to>
      <xdr:col>10</xdr:col>
      <xdr:colOff>20513</xdr:colOff>
      <xdr:row>31</xdr:row>
      <xdr:rowOff>96382</xdr:rowOff>
    </xdr:to>
    <xdr:sp macro="" textlink="テキストシート!B17">
      <xdr:nvSpPr>
        <xdr:cNvPr id="117" name="テキスト ボックス 116">
          <a:extLst>
            <a:ext uri="{FF2B5EF4-FFF2-40B4-BE49-F238E27FC236}">
              <a16:creationId xmlns="" xmlns:a16="http://schemas.microsoft.com/office/drawing/2014/main" id="{00000000-0008-0000-0500-000075000000}"/>
            </a:ext>
          </a:extLst>
        </xdr:cNvPr>
        <xdr:cNvSpPr txBox="1"/>
      </xdr:nvSpPr>
      <xdr:spPr>
        <a:xfrm>
          <a:off x="2349360" y="4949444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AAE331F-4E06-453B-8864-B39FE662DFD6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1　　□□□□□　　全判定－２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28</xdr:row>
      <xdr:rowOff>142739</xdr:rowOff>
    </xdr:from>
    <xdr:to>
      <xdr:col>10</xdr:col>
      <xdr:colOff>20513</xdr:colOff>
      <xdr:row>30</xdr:row>
      <xdr:rowOff>105908</xdr:rowOff>
    </xdr:to>
    <xdr:sp macro="" textlink="テキストシート!B18">
      <xdr:nvSpPr>
        <xdr:cNvPr id="118" name="テキスト ボックス 117">
          <a:extLst>
            <a:ext uri="{FF2B5EF4-FFF2-40B4-BE49-F238E27FC236}">
              <a16:creationId xmlns="" xmlns:a16="http://schemas.microsoft.com/office/drawing/2014/main" id="{00000000-0008-0000-0500-000076000000}"/>
            </a:ext>
          </a:extLst>
        </xdr:cNvPr>
        <xdr:cNvSpPr txBox="1"/>
      </xdr:nvSpPr>
      <xdr:spPr>
        <a:xfrm>
          <a:off x="2349360" y="4792893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4640CA9-44E2-46AC-8510-BF57836A9D76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2　　□□□□　　　全判定－３　移動力半減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27</xdr:row>
      <xdr:rowOff>152264</xdr:rowOff>
    </xdr:from>
    <xdr:to>
      <xdr:col>10</xdr:col>
      <xdr:colOff>20513</xdr:colOff>
      <xdr:row>29</xdr:row>
      <xdr:rowOff>115433</xdr:rowOff>
    </xdr:to>
    <xdr:sp macro="" textlink="テキストシート!B19">
      <xdr:nvSpPr>
        <xdr:cNvPr id="119" name="テキスト ボックス 118">
          <a:extLst>
            <a:ext uri="{FF2B5EF4-FFF2-40B4-BE49-F238E27FC236}">
              <a16:creationId xmlns="" xmlns:a16="http://schemas.microsoft.com/office/drawing/2014/main" id="{00000000-0008-0000-0500-000077000000}"/>
            </a:ext>
          </a:extLst>
        </xdr:cNvPr>
        <xdr:cNvSpPr txBox="1"/>
      </xdr:nvSpPr>
      <xdr:spPr>
        <a:xfrm>
          <a:off x="2349360" y="4636341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E3A2979-2D9F-460A-9EFF-020CA2287190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3　　□□□　　　　全判定－４　移動力と生命力半減 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26</xdr:row>
      <xdr:rowOff>161789</xdr:rowOff>
    </xdr:from>
    <xdr:to>
      <xdr:col>10</xdr:col>
      <xdr:colOff>20513</xdr:colOff>
      <xdr:row>28</xdr:row>
      <xdr:rowOff>124958</xdr:rowOff>
    </xdr:to>
    <xdr:sp macro="" textlink="テキストシート!B20">
      <xdr:nvSpPr>
        <xdr:cNvPr id="120" name="テキスト ボックス 119">
          <a:extLst>
            <a:ext uri="{FF2B5EF4-FFF2-40B4-BE49-F238E27FC236}">
              <a16:creationId xmlns="" xmlns:a16="http://schemas.microsoft.com/office/drawing/2014/main" id="{00000000-0008-0000-0500-000078000000}"/>
            </a:ext>
          </a:extLst>
        </xdr:cNvPr>
        <xdr:cNvSpPr txBox="1"/>
      </xdr:nvSpPr>
      <xdr:spPr>
        <a:xfrm>
          <a:off x="2349360" y="4479789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E6E8B0F-7CE9-4857-825A-2410C12436DA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4　　□□　　　　　気絶　移動不可　生命力半減  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517629</xdr:colOff>
      <xdr:row>26</xdr:row>
      <xdr:rowOff>5237</xdr:rowOff>
    </xdr:from>
    <xdr:to>
      <xdr:col>10</xdr:col>
      <xdr:colOff>20513</xdr:colOff>
      <xdr:row>27</xdr:row>
      <xdr:rowOff>134483</xdr:rowOff>
    </xdr:to>
    <xdr:sp macro="" textlink="テキストシート!B21">
      <xdr:nvSpPr>
        <xdr:cNvPr id="121" name="テキスト ボックス 120">
          <a:extLst>
            <a:ext uri="{FF2B5EF4-FFF2-40B4-BE49-F238E27FC236}">
              <a16:creationId xmlns="" xmlns:a16="http://schemas.microsoft.com/office/drawing/2014/main" id="{00000000-0008-0000-0500-000079000000}"/>
            </a:ext>
          </a:extLst>
        </xdr:cNvPr>
        <xdr:cNvSpPr txBox="1"/>
      </xdr:nvSpPr>
      <xdr:spPr>
        <a:xfrm>
          <a:off x="2349360" y="4323237"/>
          <a:ext cx="3776922" cy="295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5FD48D6-3976-4C8A-B893-63BD3A9744E3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 algn="l"/>
            <a:t>　 5　　□　　　　　　死亡   </a:t>
          </a:fld>
          <a:endParaRPr kumimoji="1" lang="ja-JP" altLang="en-US" sz="8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E119"/>
  <sheetViews>
    <sheetView tabSelected="1" workbookViewId="0">
      <selection activeCell="C119" sqref="C119"/>
    </sheetView>
  </sheetViews>
  <sheetFormatPr defaultRowHeight="13"/>
  <cols>
    <col min="2" max="2" width="46" style="25" customWidth="1"/>
    <col min="3" max="3" width="25.90625" style="26" customWidth="1"/>
    <col min="4" max="4" width="38.453125" style="26" bestFit="1" customWidth="1"/>
    <col min="5" max="5" width="11.7265625" customWidth="1"/>
  </cols>
  <sheetData>
    <row r="1" spans="2:5">
      <c r="B1" s="40" t="s">
        <v>0</v>
      </c>
      <c r="C1" s="42">
        <v>3</v>
      </c>
      <c r="D1" s="42" t="s">
        <v>1</v>
      </c>
    </row>
    <row r="2" spans="2:5" ht="13" customHeight="1">
      <c r="B2" s="25" t="s">
        <v>2</v>
      </c>
      <c r="C2" s="27"/>
      <c r="E2" s="22"/>
    </row>
    <row r="3" spans="2:5">
      <c r="B3" s="28" t="s">
        <v>3</v>
      </c>
      <c r="C3" s="29" t="s">
        <v>4</v>
      </c>
      <c r="D3" s="30"/>
      <c r="E3" s="22"/>
    </row>
    <row r="4" spans="2:5">
      <c r="B4" s="25" t="s">
        <v>5</v>
      </c>
      <c r="C4" s="27"/>
      <c r="E4" s="22"/>
    </row>
    <row r="5" spans="2:5">
      <c r="B5" s="25" t="s">
        <v>6</v>
      </c>
      <c r="C5" s="27"/>
      <c r="E5" s="22"/>
    </row>
    <row r="6" spans="2:5">
      <c r="B6" s="31" t="s">
        <v>8</v>
      </c>
      <c r="C6" s="32">
        <v>10</v>
      </c>
      <c r="D6" s="33"/>
      <c r="E6" s="22"/>
    </row>
    <row r="7" spans="2:5">
      <c r="B7" s="31" t="s">
        <v>9</v>
      </c>
      <c r="C7" s="32">
        <v>7</v>
      </c>
      <c r="D7" s="33"/>
      <c r="E7" s="22"/>
    </row>
    <row r="8" spans="2:5">
      <c r="B8" s="31" t="s">
        <v>10</v>
      </c>
      <c r="C8" s="32">
        <v>2</v>
      </c>
      <c r="D8" s="33"/>
      <c r="E8" s="22"/>
    </row>
    <row r="9" spans="2:5">
      <c r="B9" s="40" t="s">
        <v>11</v>
      </c>
      <c r="C9" s="41" t="s">
        <v>786</v>
      </c>
      <c r="D9" s="42"/>
      <c r="E9" s="22"/>
    </row>
    <row r="10" spans="2:5">
      <c r="B10" s="25" t="s">
        <v>13</v>
      </c>
      <c r="C10" s="27"/>
      <c r="E10" s="22"/>
    </row>
    <row r="11" spans="2:5">
      <c r="B11" s="25" t="s">
        <v>14</v>
      </c>
      <c r="C11" s="27"/>
      <c r="E11" s="22"/>
    </row>
    <row r="12" spans="2:5">
      <c r="B12" s="25" t="s">
        <v>15</v>
      </c>
      <c r="C12" s="27"/>
      <c r="E12" s="22"/>
    </row>
    <row r="13" spans="2:5">
      <c r="B13" s="25" t="s">
        <v>16</v>
      </c>
      <c r="C13" s="27" t="s">
        <v>2214</v>
      </c>
      <c r="E13" s="22"/>
    </row>
    <row r="14" spans="2:5">
      <c r="B14" s="25" t="s">
        <v>17</v>
      </c>
      <c r="C14" s="27">
        <v>1</v>
      </c>
      <c r="E14" s="22"/>
    </row>
    <row r="15" spans="2:5">
      <c r="B15" s="25" t="s">
        <v>18</v>
      </c>
      <c r="C15" s="27"/>
      <c r="E15" s="22"/>
    </row>
    <row r="16" spans="2:5">
      <c r="B16" s="31" t="s">
        <v>19</v>
      </c>
      <c r="C16" s="32" t="s">
        <v>20</v>
      </c>
      <c r="D16" s="33"/>
      <c r="E16" s="22"/>
    </row>
    <row r="17" spans="2:5">
      <c r="B17" s="34" t="s">
        <v>23</v>
      </c>
      <c r="C17" s="35">
        <v>5</v>
      </c>
      <c r="D17" s="36"/>
      <c r="E17" s="22"/>
    </row>
    <row r="18" spans="2:5">
      <c r="B18" s="34" t="s">
        <v>24</v>
      </c>
      <c r="C18" s="35">
        <v>7</v>
      </c>
      <c r="D18" s="36"/>
      <c r="E18" s="22"/>
    </row>
    <row r="19" spans="2:5">
      <c r="B19" s="34" t="s">
        <v>25</v>
      </c>
      <c r="C19" s="35">
        <v>9</v>
      </c>
      <c r="D19" s="36"/>
      <c r="E19" s="22"/>
    </row>
    <row r="20" spans="2:5">
      <c r="B20" s="40" t="s">
        <v>26</v>
      </c>
      <c r="C20" s="41" t="s">
        <v>22</v>
      </c>
      <c r="D20" s="42"/>
      <c r="E20" s="22"/>
    </row>
    <row r="21" spans="2:5">
      <c r="B21" s="37" t="s">
        <v>27</v>
      </c>
      <c r="C21" s="38"/>
      <c r="D21" s="39"/>
      <c r="E21" s="22"/>
    </row>
    <row r="22" spans="2:5">
      <c r="B22" s="37" t="s">
        <v>28</v>
      </c>
      <c r="C22" s="38"/>
      <c r="D22" s="39"/>
      <c r="E22" s="22"/>
    </row>
    <row r="23" spans="2:5">
      <c r="B23" s="37" t="s">
        <v>29</v>
      </c>
      <c r="C23" s="38"/>
      <c r="D23" s="39"/>
      <c r="E23" s="22"/>
    </row>
    <row r="24" spans="2:5">
      <c r="B24" s="37" t="s">
        <v>30</v>
      </c>
      <c r="C24" s="38"/>
      <c r="D24" s="39"/>
      <c r="E24" s="22"/>
    </row>
    <row r="25" spans="2:5">
      <c r="B25" s="37" t="s">
        <v>31</v>
      </c>
      <c r="C25" s="38"/>
      <c r="D25" s="39"/>
      <c r="E25" s="22"/>
    </row>
    <row r="26" spans="2:5">
      <c r="B26" s="37" t="s">
        <v>32</v>
      </c>
      <c r="C26" s="38"/>
      <c r="D26" s="39"/>
      <c r="E26" s="22"/>
    </row>
    <row r="27" spans="2:5">
      <c r="B27" s="37" t="s">
        <v>33</v>
      </c>
      <c r="C27" s="38"/>
      <c r="D27" s="39"/>
      <c r="E27" s="22"/>
    </row>
    <row r="28" spans="2:5">
      <c r="B28" s="40" t="s">
        <v>21</v>
      </c>
      <c r="C28" s="41" t="s">
        <v>22</v>
      </c>
      <c r="D28" s="42"/>
      <c r="E28" s="22"/>
    </row>
    <row r="29" spans="2:5">
      <c r="B29" s="40" t="s">
        <v>34</v>
      </c>
      <c r="C29" s="41" t="s">
        <v>449</v>
      </c>
      <c r="D29" s="42"/>
      <c r="E29" s="22"/>
    </row>
    <row r="30" spans="2:5">
      <c r="B30" s="31" t="s">
        <v>36</v>
      </c>
      <c r="C30" s="32" t="s">
        <v>25</v>
      </c>
      <c r="D30" s="33"/>
      <c r="E30" s="22"/>
    </row>
    <row r="31" spans="2:5">
      <c r="B31" s="31" t="s">
        <v>37</v>
      </c>
      <c r="C31" s="32" t="s">
        <v>24</v>
      </c>
      <c r="D31" s="33"/>
      <c r="E31" s="22"/>
    </row>
    <row r="32" spans="2:5">
      <c r="B32" s="31" t="s">
        <v>38</v>
      </c>
      <c r="C32" s="32" t="s">
        <v>23</v>
      </c>
      <c r="D32" s="33"/>
      <c r="E32" s="22"/>
    </row>
    <row r="33" spans="2:5">
      <c r="B33" s="34" t="s">
        <v>39</v>
      </c>
      <c r="C33" s="78" t="s">
        <v>523</v>
      </c>
      <c r="D33" s="36"/>
      <c r="E33" s="22"/>
    </row>
    <row r="34" spans="2:5">
      <c r="B34" s="34" t="s">
        <v>41</v>
      </c>
      <c r="C34" s="78" t="s">
        <v>1052</v>
      </c>
      <c r="D34" s="36"/>
      <c r="E34" s="22"/>
    </row>
    <row r="35" spans="2:5">
      <c r="B35" s="34" t="s">
        <v>43</v>
      </c>
      <c r="C35" s="78" t="s">
        <v>20</v>
      </c>
      <c r="D35" s="36"/>
      <c r="E35" s="22"/>
    </row>
    <row r="36" spans="2:5">
      <c r="B36" s="34" t="s">
        <v>44</v>
      </c>
      <c r="C36" s="78" t="s">
        <v>1043</v>
      </c>
      <c r="D36" s="36"/>
      <c r="E36" s="22"/>
    </row>
    <row r="37" spans="2:5">
      <c r="B37" s="43" t="s">
        <v>46</v>
      </c>
      <c r="C37" s="44" t="s">
        <v>47</v>
      </c>
      <c r="D37" s="45" t="s">
        <v>52</v>
      </c>
      <c r="E37" s="22"/>
    </row>
    <row r="38" spans="2:5">
      <c r="B38" s="43" t="s">
        <v>49</v>
      </c>
      <c r="C38" s="44" t="s">
        <v>20</v>
      </c>
      <c r="D38" s="45" t="s">
        <v>52</v>
      </c>
      <c r="E38" s="22"/>
    </row>
    <row r="39" spans="2:5">
      <c r="B39" s="43" t="s">
        <v>51</v>
      </c>
      <c r="C39" s="44" t="s">
        <v>20</v>
      </c>
      <c r="D39" s="45" t="s">
        <v>52</v>
      </c>
      <c r="E39" s="22"/>
    </row>
    <row r="40" spans="2:5" ht="13" customHeight="1">
      <c r="B40" s="43" t="s">
        <v>53</v>
      </c>
      <c r="C40" s="44" t="s">
        <v>20</v>
      </c>
      <c r="D40" s="45" t="s">
        <v>52</v>
      </c>
      <c r="E40" s="22"/>
    </row>
    <row r="41" spans="2:5">
      <c r="B41" s="43" t="s">
        <v>54</v>
      </c>
      <c r="C41" s="44" t="s">
        <v>20</v>
      </c>
      <c r="D41" s="45" t="s">
        <v>52</v>
      </c>
      <c r="E41" s="22"/>
    </row>
    <row r="42" spans="2:5">
      <c r="B42" s="40" t="s">
        <v>55</v>
      </c>
      <c r="C42" s="41">
        <v>0</v>
      </c>
      <c r="D42" s="46"/>
      <c r="E42" s="22"/>
    </row>
    <row r="43" spans="2:5">
      <c r="B43" s="31" t="s">
        <v>56</v>
      </c>
      <c r="C43" s="47" t="s">
        <v>20</v>
      </c>
      <c r="D43" s="48" t="s">
        <v>58</v>
      </c>
      <c r="E43" s="22"/>
    </row>
    <row r="44" spans="2:5">
      <c r="B44" s="31" t="s">
        <v>59</v>
      </c>
      <c r="C44" s="47" t="s">
        <v>20</v>
      </c>
      <c r="D44" s="48" t="s">
        <v>58</v>
      </c>
      <c r="E44" s="22"/>
    </row>
    <row r="45" spans="2:5">
      <c r="B45" s="31" t="s">
        <v>61</v>
      </c>
      <c r="C45" s="47" t="s">
        <v>20</v>
      </c>
      <c r="D45" s="48" t="s">
        <v>58</v>
      </c>
      <c r="E45" s="22"/>
    </row>
    <row r="46" spans="2:5">
      <c r="B46" s="31" t="s">
        <v>62</v>
      </c>
      <c r="C46" s="47" t="s">
        <v>20</v>
      </c>
      <c r="D46" s="48" t="s">
        <v>58</v>
      </c>
      <c r="E46" s="22"/>
    </row>
    <row r="47" spans="2:5">
      <c r="B47" s="31" t="s">
        <v>63</v>
      </c>
      <c r="C47" s="47" t="s">
        <v>20</v>
      </c>
      <c r="D47" s="48" t="s">
        <v>58</v>
      </c>
      <c r="E47" s="22"/>
    </row>
    <row r="48" spans="2:5" ht="13" customHeight="1">
      <c r="B48" s="31" t="s">
        <v>65</v>
      </c>
      <c r="C48" s="47" t="s">
        <v>20</v>
      </c>
      <c r="D48" s="48" t="s">
        <v>58</v>
      </c>
      <c r="E48" s="22"/>
    </row>
    <row r="49" spans="2:5">
      <c r="B49" s="31" t="s">
        <v>66</v>
      </c>
      <c r="C49" s="47" t="s">
        <v>20</v>
      </c>
      <c r="D49" s="48" t="s">
        <v>58</v>
      </c>
      <c r="E49" s="22"/>
    </row>
    <row r="50" spans="2:5">
      <c r="B50" s="31" t="s">
        <v>68</v>
      </c>
      <c r="C50" s="47" t="s">
        <v>20</v>
      </c>
      <c r="D50" s="48" t="s">
        <v>58</v>
      </c>
      <c r="E50" s="22"/>
    </row>
    <row r="51" spans="2:5">
      <c r="B51" s="31" t="s">
        <v>69</v>
      </c>
      <c r="C51" s="47" t="s">
        <v>20</v>
      </c>
      <c r="D51" s="48" t="s">
        <v>58</v>
      </c>
      <c r="E51" s="22"/>
    </row>
    <row r="52" spans="2:5">
      <c r="B52" s="31" t="s">
        <v>70</v>
      </c>
      <c r="C52" s="47" t="s">
        <v>20</v>
      </c>
      <c r="D52" s="48" t="s">
        <v>58</v>
      </c>
      <c r="E52" s="22"/>
    </row>
    <row r="53" spans="2:5" ht="13" customHeight="1">
      <c r="B53" s="37" t="s">
        <v>71</v>
      </c>
      <c r="C53" s="49" t="s">
        <v>928</v>
      </c>
      <c r="D53" s="50" t="s">
        <v>73</v>
      </c>
      <c r="E53" s="22"/>
    </row>
    <row r="54" spans="2:5">
      <c r="B54" s="37" t="s">
        <v>74</v>
      </c>
      <c r="C54" s="49" t="s">
        <v>1419</v>
      </c>
      <c r="D54" s="50" t="s">
        <v>73</v>
      </c>
      <c r="E54" s="22"/>
    </row>
    <row r="55" spans="2:5">
      <c r="B55" s="37" t="s">
        <v>76</v>
      </c>
      <c r="C55" s="49" t="s">
        <v>20</v>
      </c>
      <c r="D55" s="50" t="s">
        <v>73</v>
      </c>
    </row>
    <row r="56" spans="2:5">
      <c r="B56" s="37" t="s">
        <v>78</v>
      </c>
      <c r="C56" s="49" t="s">
        <v>20</v>
      </c>
      <c r="D56" s="50" t="s">
        <v>73</v>
      </c>
    </row>
    <row r="57" spans="2:5">
      <c r="B57" s="37" t="s">
        <v>80</v>
      </c>
      <c r="C57" s="49" t="s">
        <v>20</v>
      </c>
      <c r="D57" s="50" t="s">
        <v>73</v>
      </c>
    </row>
    <row r="58" spans="2:5" ht="13" customHeight="1">
      <c r="B58" s="37" t="s">
        <v>82</v>
      </c>
      <c r="C58" s="49" t="s">
        <v>20</v>
      </c>
      <c r="D58" s="50" t="s">
        <v>73</v>
      </c>
    </row>
    <row r="59" spans="2:5">
      <c r="B59" s="37" t="s">
        <v>84</v>
      </c>
      <c r="C59" s="49" t="s">
        <v>20</v>
      </c>
      <c r="D59" s="50" t="s">
        <v>73</v>
      </c>
    </row>
    <row r="60" spans="2:5">
      <c r="B60" s="37" t="s">
        <v>85</v>
      </c>
      <c r="C60" s="49" t="s">
        <v>20</v>
      </c>
      <c r="D60" s="50" t="s">
        <v>73</v>
      </c>
    </row>
    <row r="61" spans="2:5">
      <c r="B61" s="37" t="s">
        <v>87</v>
      </c>
      <c r="C61" s="49" t="s">
        <v>20</v>
      </c>
      <c r="D61" s="50" t="s">
        <v>73</v>
      </c>
    </row>
    <row r="62" spans="2:5">
      <c r="B62" s="37" t="s">
        <v>89</v>
      </c>
      <c r="C62" s="49" t="s">
        <v>20</v>
      </c>
      <c r="D62" s="50" t="s">
        <v>73</v>
      </c>
    </row>
    <row r="63" spans="2:5">
      <c r="B63" s="37" t="s">
        <v>90</v>
      </c>
      <c r="C63" s="49" t="s">
        <v>20</v>
      </c>
      <c r="D63" s="50" t="s">
        <v>73</v>
      </c>
    </row>
    <row r="64" spans="2:5">
      <c r="B64" s="37" t="s">
        <v>91</v>
      </c>
      <c r="C64" s="49" t="s">
        <v>20</v>
      </c>
      <c r="D64" s="50" t="s">
        <v>73</v>
      </c>
    </row>
    <row r="65" spans="2:4">
      <c r="B65" s="37" t="s">
        <v>92</v>
      </c>
      <c r="C65" s="49" t="s">
        <v>20</v>
      </c>
      <c r="D65" s="50" t="s">
        <v>73</v>
      </c>
    </row>
    <row r="66" spans="2:4">
      <c r="B66" s="37" t="s">
        <v>93</v>
      </c>
      <c r="C66" s="49" t="s">
        <v>20</v>
      </c>
      <c r="D66" s="50" t="s">
        <v>73</v>
      </c>
    </row>
    <row r="67" spans="2:4">
      <c r="B67" s="37" t="s">
        <v>94</v>
      </c>
      <c r="C67" s="49" t="s">
        <v>20</v>
      </c>
      <c r="D67" s="50" t="s">
        <v>73</v>
      </c>
    </row>
    <row r="68" spans="2:4">
      <c r="B68" s="37" t="s">
        <v>95</v>
      </c>
      <c r="C68" s="49" t="s">
        <v>20</v>
      </c>
      <c r="D68" s="50" t="s">
        <v>73</v>
      </c>
    </row>
    <row r="69" spans="2:4">
      <c r="B69" s="37" t="s">
        <v>96</v>
      </c>
      <c r="C69" s="49" t="s">
        <v>20</v>
      </c>
      <c r="D69" s="50" t="s">
        <v>73</v>
      </c>
    </row>
    <row r="70" spans="2:4">
      <c r="B70" s="37" t="s">
        <v>97</v>
      </c>
      <c r="C70" s="49" t="s">
        <v>20</v>
      </c>
      <c r="D70" s="50" t="s">
        <v>73</v>
      </c>
    </row>
    <row r="71" spans="2:4">
      <c r="B71" s="37" t="s">
        <v>98</v>
      </c>
      <c r="C71" s="49" t="s">
        <v>20</v>
      </c>
      <c r="D71" s="50" t="s">
        <v>73</v>
      </c>
    </row>
    <row r="72" spans="2:4">
      <c r="B72" s="37" t="s">
        <v>99</v>
      </c>
      <c r="C72" s="49" t="s">
        <v>20</v>
      </c>
      <c r="D72" s="50" t="s">
        <v>73</v>
      </c>
    </row>
    <row r="73" spans="2:4">
      <c r="B73" s="37" t="s">
        <v>100</v>
      </c>
      <c r="C73" s="49" t="s">
        <v>20</v>
      </c>
      <c r="D73" s="50" t="s">
        <v>73</v>
      </c>
    </row>
    <row r="74" spans="2:4">
      <c r="B74" s="37" t="s">
        <v>101</v>
      </c>
      <c r="C74" s="49" t="s">
        <v>20</v>
      </c>
      <c r="D74" s="50" t="s">
        <v>73</v>
      </c>
    </row>
    <row r="75" spans="2:4">
      <c r="B75" s="37" t="s">
        <v>102</v>
      </c>
      <c r="C75" s="49" t="s">
        <v>20</v>
      </c>
      <c r="D75" s="50" t="s">
        <v>73</v>
      </c>
    </row>
    <row r="76" spans="2:4">
      <c r="B76" s="37" t="s">
        <v>103</v>
      </c>
      <c r="C76" s="49" t="s">
        <v>20</v>
      </c>
      <c r="D76" s="50" t="s">
        <v>73</v>
      </c>
    </row>
    <row r="77" spans="2:4">
      <c r="B77" s="51" t="s">
        <v>104</v>
      </c>
      <c r="C77" s="52" t="s">
        <v>1022</v>
      </c>
      <c r="D77" s="53" t="s">
        <v>106</v>
      </c>
    </row>
    <row r="78" spans="2:4">
      <c r="B78" s="51" t="s">
        <v>107</v>
      </c>
      <c r="C78" s="54" t="s">
        <v>108</v>
      </c>
      <c r="D78" s="53"/>
    </row>
    <row r="79" spans="2:4">
      <c r="B79" s="51" t="s">
        <v>2167</v>
      </c>
      <c r="C79" s="54" t="s">
        <v>2169</v>
      </c>
      <c r="D79" s="53"/>
    </row>
    <row r="80" spans="2:4">
      <c r="B80" s="51" t="s">
        <v>109</v>
      </c>
      <c r="C80" s="52" t="s">
        <v>20</v>
      </c>
      <c r="D80" s="53" t="s">
        <v>106</v>
      </c>
    </row>
    <row r="81" spans="2:4">
      <c r="B81" s="51" t="s">
        <v>111</v>
      </c>
      <c r="C81" s="54" t="s">
        <v>20</v>
      </c>
      <c r="D81" s="53"/>
    </row>
    <row r="82" spans="2:4">
      <c r="B82" s="51" t="s">
        <v>2171</v>
      </c>
      <c r="C82" s="54" t="s">
        <v>2169</v>
      </c>
      <c r="D82" s="53"/>
    </row>
    <row r="83" spans="2:4">
      <c r="B83" s="51" t="s">
        <v>112</v>
      </c>
      <c r="C83" s="52" t="s">
        <v>20</v>
      </c>
      <c r="D83" s="53" t="s">
        <v>106</v>
      </c>
    </row>
    <row r="84" spans="2:4">
      <c r="B84" s="51" t="s">
        <v>113</v>
      </c>
      <c r="C84" s="54" t="s">
        <v>20</v>
      </c>
      <c r="D84" s="53"/>
    </row>
    <row r="85" spans="2:4">
      <c r="B85" s="51" t="s">
        <v>2172</v>
      </c>
      <c r="C85" s="54" t="s">
        <v>2169</v>
      </c>
      <c r="D85" s="53"/>
    </row>
    <row r="86" spans="2:4">
      <c r="B86" s="51" t="s">
        <v>114</v>
      </c>
      <c r="C86" s="52" t="s">
        <v>20</v>
      </c>
      <c r="D86" s="53" t="s">
        <v>106</v>
      </c>
    </row>
    <row r="87" spans="2:4">
      <c r="B87" s="51" t="s">
        <v>115</v>
      </c>
      <c r="C87" s="54" t="s">
        <v>20</v>
      </c>
      <c r="D87" s="53"/>
    </row>
    <row r="88" spans="2:4">
      <c r="B88" s="51" t="s">
        <v>2173</v>
      </c>
      <c r="C88" s="54" t="s">
        <v>2169</v>
      </c>
      <c r="D88" s="53"/>
    </row>
    <row r="89" spans="2:4">
      <c r="B89" s="51" t="s">
        <v>116</v>
      </c>
      <c r="C89" s="52" t="s">
        <v>20</v>
      </c>
      <c r="D89" s="53" t="s">
        <v>106</v>
      </c>
    </row>
    <row r="90" spans="2:4">
      <c r="B90" s="51" t="s">
        <v>117</v>
      </c>
      <c r="C90" s="54" t="s">
        <v>20</v>
      </c>
      <c r="D90" s="53"/>
    </row>
    <row r="91" spans="2:4">
      <c r="B91" s="51" t="s">
        <v>2174</v>
      </c>
      <c r="C91" s="54" t="s">
        <v>2169</v>
      </c>
      <c r="D91" s="53"/>
    </row>
    <row r="92" spans="2:4">
      <c r="B92" s="51" t="s">
        <v>118</v>
      </c>
      <c r="C92" s="52" t="s">
        <v>20</v>
      </c>
      <c r="D92" s="53" t="s">
        <v>106</v>
      </c>
    </row>
    <row r="93" spans="2:4">
      <c r="B93" s="51" t="s">
        <v>119</v>
      </c>
      <c r="C93" s="54" t="s">
        <v>20</v>
      </c>
      <c r="D93" s="53"/>
    </row>
    <row r="94" spans="2:4">
      <c r="B94" s="51" t="s">
        <v>2175</v>
      </c>
      <c r="C94" s="54" t="s">
        <v>2169</v>
      </c>
      <c r="D94" s="53"/>
    </row>
    <row r="95" spans="2:4">
      <c r="B95" s="31" t="s">
        <v>120</v>
      </c>
      <c r="C95" s="47" t="s">
        <v>913</v>
      </c>
      <c r="D95" s="48" t="s">
        <v>122</v>
      </c>
    </row>
    <row r="96" spans="2:4">
      <c r="B96" s="31" t="s">
        <v>123</v>
      </c>
      <c r="C96" s="32" t="s">
        <v>108</v>
      </c>
      <c r="D96" s="48"/>
    </row>
    <row r="97" spans="2:4">
      <c r="B97" s="31" t="s">
        <v>2176</v>
      </c>
      <c r="C97" s="32" t="s">
        <v>2169</v>
      </c>
      <c r="D97" s="48"/>
    </row>
    <row r="98" spans="2:4">
      <c r="B98" s="40" t="s">
        <v>124</v>
      </c>
      <c r="C98" s="55" t="s">
        <v>915</v>
      </c>
      <c r="D98" s="46" t="s">
        <v>126</v>
      </c>
    </row>
    <row r="99" spans="2:4">
      <c r="B99" s="40" t="s">
        <v>127</v>
      </c>
      <c r="C99" s="41" t="s">
        <v>108</v>
      </c>
      <c r="D99" s="42"/>
    </row>
    <row r="100" spans="2:4">
      <c r="B100" s="40" t="s">
        <v>2177</v>
      </c>
      <c r="C100" s="41" t="s">
        <v>2169</v>
      </c>
      <c r="D100" s="42"/>
    </row>
    <row r="101" spans="2:4">
      <c r="B101" s="37" t="s">
        <v>128</v>
      </c>
      <c r="C101" s="38" t="s">
        <v>2127</v>
      </c>
      <c r="D101" s="39"/>
    </row>
    <row r="102" spans="2:4">
      <c r="B102" s="37" t="s">
        <v>129</v>
      </c>
      <c r="C102" s="38" t="s">
        <v>130</v>
      </c>
      <c r="D102" s="39"/>
    </row>
    <row r="103" spans="2:4">
      <c r="B103" s="37" t="s">
        <v>131</v>
      </c>
      <c r="C103" s="38" t="s">
        <v>132</v>
      </c>
      <c r="D103" s="39"/>
    </row>
    <row r="104" spans="2:4">
      <c r="B104" s="37" t="s">
        <v>133</v>
      </c>
      <c r="C104" s="49" t="s">
        <v>20</v>
      </c>
      <c r="D104" s="39"/>
    </row>
    <row r="105" spans="2:4">
      <c r="B105" s="37" t="s">
        <v>135</v>
      </c>
      <c r="C105" s="49" t="s">
        <v>20</v>
      </c>
      <c r="D105" s="39"/>
    </row>
    <row r="106" spans="2:4">
      <c r="B106" s="37" t="s">
        <v>137</v>
      </c>
      <c r="C106" s="49" t="s">
        <v>20</v>
      </c>
      <c r="D106" s="39"/>
    </row>
    <row r="107" spans="2:4">
      <c r="B107" s="37" t="s">
        <v>139</v>
      </c>
      <c r="C107" s="49" t="s">
        <v>20</v>
      </c>
      <c r="D107" s="39"/>
    </row>
    <row r="108" spans="2:4">
      <c r="B108" s="37" t="s">
        <v>141</v>
      </c>
      <c r="C108" s="49" t="s">
        <v>20</v>
      </c>
      <c r="D108" s="39"/>
    </row>
    <row r="109" spans="2:4">
      <c r="B109" s="37" t="s">
        <v>142</v>
      </c>
      <c r="C109" s="49" t="s">
        <v>20</v>
      </c>
      <c r="D109" s="39"/>
    </row>
    <row r="110" spans="2:4">
      <c r="B110" s="37" t="s">
        <v>2157</v>
      </c>
      <c r="C110" s="49" t="s">
        <v>1595</v>
      </c>
      <c r="D110" s="39"/>
    </row>
    <row r="111" spans="2:4">
      <c r="B111" s="37" t="s">
        <v>2158</v>
      </c>
      <c r="C111" s="49" t="s">
        <v>20</v>
      </c>
      <c r="D111" s="39"/>
    </row>
    <row r="112" spans="2:4">
      <c r="B112" s="37" t="s">
        <v>2159</v>
      </c>
      <c r="C112" s="49" t="s">
        <v>20</v>
      </c>
      <c r="D112" s="39"/>
    </row>
    <row r="113" spans="2:4">
      <c r="B113" s="37" t="s">
        <v>2160</v>
      </c>
      <c r="C113" s="49" t="s">
        <v>20</v>
      </c>
      <c r="D113" s="39"/>
    </row>
    <row r="114" spans="2:4">
      <c r="B114" s="37" t="s">
        <v>2161</v>
      </c>
      <c r="C114" s="49" t="s">
        <v>20</v>
      </c>
      <c r="D114" s="39"/>
    </row>
    <row r="115" spans="2:4">
      <c r="B115" s="37" t="s">
        <v>2162</v>
      </c>
      <c r="C115" s="49" t="s">
        <v>20</v>
      </c>
      <c r="D115" s="39"/>
    </row>
    <row r="116" spans="2:4">
      <c r="B116" s="37" t="s">
        <v>2163</v>
      </c>
      <c r="C116" s="49" t="s">
        <v>20</v>
      </c>
      <c r="D116" s="39"/>
    </row>
    <row r="117" spans="2:4">
      <c r="B117" s="37" t="s">
        <v>2164</v>
      </c>
      <c r="C117" s="49" t="s">
        <v>20</v>
      </c>
      <c r="D117" s="39"/>
    </row>
    <row r="118" spans="2:4">
      <c r="B118" s="37" t="s">
        <v>2166</v>
      </c>
      <c r="C118" s="49" t="s">
        <v>20</v>
      </c>
      <c r="D118" s="39"/>
    </row>
    <row r="119" spans="2:4">
      <c r="B119" s="34" t="s">
        <v>2196</v>
      </c>
      <c r="C119" s="36" t="s">
        <v>20</v>
      </c>
      <c r="D119" s="36"/>
    </row>
  </sheetData>
  <dataConsolidate/>
  <phoneticPr fontId="2"/>
  <dataValidations count="14">
    <dataValidation type="list" allowBlank="1" showInputMessage="1" showErrorMessage="1" sqref="C9">
      <formula1>冒険者等級</formula1>
    </dataValidation>
    <dataValidation type="list" allowBlank="1" showInputMessage="1" showErrorMessage="1" sqref="C20">
      <formula1>状態タイプ</formula1>
    </dataValidation>
    <dataValidation type="list" allowBlank="1" showInputMessage="1" showErrorMessage="1" sqref="C3">
      <formula1>種族</formula1>
    </dataValidation>
    <dataValidation type="list" allowBlank="1" showInputMessage="1" showErrorMessage="1" sqref="C30:C32">
      <formula1>状態タイプ選択</formula1>
    </dataValidation>
    <dataValidation type="list" allowBlank="1" showInputMessage="1" showErrorMessage="1" sqref="C37:C41 C43:C77 C80 C83 C86 C89 C92 C95 C98">
      <formula1>INDIRECT(D37)</formula1>
    </dataValidation>
    <dataValidation type="list" allowBlank="1" showInputMessage="1" showErrorMessage="1" sqref="D43:D52">
      <formula1>呪文種別</formula1>
    </dataValidation>
    <dataValidation type="list" allowBlank="1" showInputMessage="1" showErrorMessage="1" sqref="D53:D76">
      <formula1>技能絞り込み</formula1>
    </dataValidation>
    <dataValidation type="list" allowBlank="1" showInputMessage="1" showErrorMessage="1" sqref="D77 D80 D83 D86 D89 D92">
      <formula1>武器種別</formula1>
    </dataValidation>
    <dataValidation type="list" allowBlank="1" showInputMessage="1" showErrorMessage="1" sqref="D95">
      <formula1>鎧種別</formula1>
    </dataValidation>
    <dataValidation type="list" allowBlank="1" showInputMessage="1" showErrorMessage="1" sqref="D98">
      <formula1>盾種別</formula1>
    </dataValidation>
    <dataValidation type="list" allowBlank="1" showInputMessage="1" showErrorMessage="1" sqref="C16">
      <formula1>信仰</formula1>
    </dataValidation>
    <dataValidation type="list" allowBlank="1" showInputMessage="1" showErrorMessage="1" sqref="C101:C118">
      <formula1>冒険アイテム</formula1>
    </dataValidation>
    <dataValidation type="list" allowBlank="1" showInputMessage="1" showErrorMessage="1" sqref="C97 C100">
      <formula1>入手手段</formula1>
    </dataValidation>
    <dataValidation type="list" allowBlank="1" showInputMessage="1" showErrorMessage="1" sqref="C119">
      <formula1>騎乗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5" operator="containsText" id="{DD3EBC92-26F7-4162-ABA7-5D987F4DA5C2}">
            <xm:f>NOT(ISERROR(SEARCH(ラベル!$G$7,C43)))</xm:f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ontainsText" priority="26" operator="containsText" id="{8A5FB1CB-526D-4F56-9B87-7739D4527223}">
            <xm:f>NOT(ISERROR(SEARCH(ラベル!$G$6,C43)))</xm:f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ontainsText" priority="27" operator="containsText" id="{83450BCD-B906-4BF0-B023-9953CBC542FE}">
            <xm:f>NOT(ISERROR(SEARCH(ラベル!$G$5,C43)))</xm:f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ontainsText" priority="28" operator="containsText" id="{85436224-B249-473A-AF5A-AFB6D7D2B502}">
            <xm:f>NOT(ISERROR(SEARCH(ラベル!$G$4,C43)))</xm:f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ontainsText" priority="29" operator="containsText" id="{6228C034-5E8D-4FAB-8B02-94963D8698C0}">
            <xm:f>NOT(ISERROR(SEARCH(ラベル!$G$3,C43)))</xm:f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ontainsText" priority="30" operator="containsText" id="{10E9178B-A1DB-40B7-BF52-FE4C58F120B7}">
            <xm:f>NOT(ISERROR(SEARCH(ラベル!$G$2,C43)))</xm:f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C43:C76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ラベル!$W$2:$W$8</xm:f>
          </x14:formula1>
          <xm:sqref>C5</xm:sqref>
        </x14:dataValidation>
        <x14:dataValidation type="list" allowBlank="1" showInputMessage="1" showErrorMessage="1">
          <x14:formula1>
            <xm:f>ラベル!$V$2:$V$49</xm:f>
          </x14:formula1>
          <xm:sqref>C4</xm:sqref>
        </x14:dataValidation>
        <x14:dataValidation type="list" allowBlank="1" showInputMessage="1" showErrorMessage="1">
          <x14:formula1>
            <xm:f>ラベル!$U$2:$U$12</xm:f>
          </x14:formula1>
          <xm:sqref>C17:C19 C6:C8 C1</xm:sqref>
        </x14:dataValidation>
        <x14:dataValidation type="list" allowBlank="1" showInputMessage="1" showErrorMessage="1">
          <x14:formula1>
            <xm:f>ラベル!$A$2:$A$3</xm:f>
          </x14:formula1>
          <xm:sqref>C28</xm:sqref>
        </x14:dataValidation>
        <x14:dataValidation type="list" allowBlank="1" showInputMessage="1" showErrorMessage="1">
          <x14:formula1>
            <xm:f>ラベル!$Z$2:$Z$4</xm:f>
          </x14:formula1>
          <xm:sqref>C13</xm:sqref>
        </x14:dataValidation>
        <x14:dataValidation type="list" allowBlank="1" showInputMessage="1" showErrorMessage="1">
          <x14:formula1>
            <xm:f>ラベル!$AA$2:$AA$7</xm:f>
          </x14:formula1>
          <xm:sqref>C14</xm:sqref>
        </x14:dataValidation>
        <x14:dataValidation type="list" allowBlank="1" showInputMessage="1" showErrorMessage="1">
          <x14:formula1>
            <xm:f>ラベル!$AB$2:$AB$5</xm:f>
          </x14:formula1>
          <xm:sqref>C29</xm:sqref>
        </x14:dataValidation>
        <x14:dataValidation type="list" allowBlank="1" showInputMessage="1" showErrorMessage="1">
          <x14:formula1>
            <xm:f>ラベル!$R$2:$R$6</xm:f>
          </x14:formula1>
          <xm:sqref>C90 C87 C78 C81 C84 C93</xm:sqref>
        </x14:dataValidation>
        <x14:dataValidation type="list" allowBlank="1" showInputMessage="1" showErrorMessage="1">
          <x14:formula1>
            <xm:f>ラベル!$T$2:$T$5</xm:f>
          </x14:formula1>
          <xm:sqref>C96</xm:sqref>
        </x14:dataValidation>
        <x14:dataValidation type="list" allowBlank="1" showInputMessage="1" showErrorMessage="1">
          <x14:formula1>
            <xm:f>ラベル!$S$2:$S$4</xm:f>
          </x14:formula1>
          <xm:sqref>C99</xm:sqref>
        </x14:dataValidation>
        <x14:dataValidation type="list" allowBlank="1" showInputMessage="1" showErrorMessage="1">
          <x14:formula1>
            <xm:f>ラベル!$Q$2:$Q$101</xm:f>
          </x14:formula1>
          <xm:sqref>C42</xm:sqref>
        </x14:dataValidation>
        <x14:dataValidation type="list" allowBlank="1" showInputMessage="1" showErrorMessage="1">
          <x14:formula1>
            <xm:f>ラベル!$AC$2:$AC$10</xm:f>
          </x14:formula1>
          <xm:sqref>C33</xm:sqref>
        </x14:dataValidation>
        <x14:dataValidation type="list" allowBlank="1" showInputMessage="1" showErrorMessage="1">
          <x14:formula1>
            <xm:f>ラベル!$AF$2:$AF$112</xm:f>
          </x14:formula1>
          <xm:sqref>C34:C36</xm:sqref>
        </x14:dataValidation>
        <x14:dataValidation type="list" allowBlank="1" showInputMessage="1" showErrorMessage="1">
          <x14:formula1>
            <xm:f>固定値!$DC$1:$DC$9</xm:f>
          </x14:formula1>
          <xm:sqref>D37:D41</xm:sqref>
        </x14:dataValidation>
        <x14:dataValidation type="list" allowBlank="1" showInputMessage="1" showErrorMessage="1">
          <x14:formula1>
            <xm:f>ラベル!$BW$2:$BW$3</xm:f>
          </x14:formula1>
          <xm:sqref>C79 C82 C85 C88 C91 C94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H20"/>
  <sheetViews>
    <sheetView workbookViewId="0">
      <selection activeCell="C15" sqref="C15"/>
    </sheetView>
  </sheetViews>
  <sheetFormatPr defaultRowHeight="13"/>
  <cols>
    <col min="2" max="2" width="17.90625" bestFit="1" customWidth="1"/>
    <col min="3" max="3" width="42.08984375" customWidth="1"/>
    <col min="4" max="6" width="7.26953125" bestFit="1" customWidth="1"/>
    <col min="7" max="7" width="5.26953125" bestFit="1" customWidth="1"/>
    <col min="8" max="8" width="7.26953125" bestFit="1" customWidth="1"/>
    <col min="9" max="9" width="5.26953125" bestFit="1" customWidth="1"/>
    <col min="10" max="10" width="7.26953125" bestFit="1" customWidth="1"/>
    <col min="11" max="11" width="9.08984375" bestFit="1" customWidth="1"/>
  </cols>
  <sheetData>
    <row r="2" spans="2:8">
      <c r="B2" t="s">
        <v>2</v>
      </c>
      <c r="C2" t="str">
        <f>IF(作成シート!C2="","",作成シート!C2)</f>
        <v/>
      </c>
    </row>
    <row r="3" spans="2:8">
      <c r="B3" t="s">
        <v>3</v>
      </c>
      <c r="C3" t="str">
        <f>作成シート!C3</f>
        <v>只人</v>
      </c>
    </row>
    <row r="4" spans="2:8">
      <c r="B4" t="s">
        <v>5</v>
      </c>
      <c r="C4" t="str">
        <f>IF(作成シート!C4="","",作成シート!C4)</f>
        <v/>
      </c>
    </row>
    <row r="5" spans="2:8">
      <c r="B5" t="s">
        <v>6</v>
      </c>
      <c r="C5" t="str">
        <f>IF(作成シート!C5="","",作成シート!C5)</f>
        <v/>
      </c>
    </row>
    <row r="6" spans="2:8">
      <c r="B6" t="s">
        <v>438</v>
      </c>
      <c r="C6" t="str">
        <f>VLOOKUP(F6,固定値!CA2:CE55,5,FALSE)</f>
        <v>騎士</v>
      </c>
      <c r="D6" t="s">
        <v>439</v>
      </c>
      <c r="E6">
        <f>作成シート!C6</f>
        <v>10</v>
      </c>
      <c r="F6" t="str">
        <f>C3&amp;"-"&amp;E6</f>
        <v>只人-10</v>
      </c>
    </row>
    <row r="7" spans="2:8">
      <c r="B7" t="s">
        <v>440</v>
      </c>
      <c r="C7" t="str">
        <f>VLOOKUP(E7,固定値!CK2:CL12,2,FALSE)</f>
        <v>平穏</v>
      </c>
      <c r="D7" t="s">
        <v>439</v>
      </c>
      <c r="E7">
        <f>作成シート!C7</f>
        <v>7</v>
      </c>
    </row>
    <row r="8" spans="2:8">
      <c r="B8" t="s">
        <v>441</v>
      </c>
      <c r="C8" t="str">
        <f>VLOOKUP(E8,固定値!CP2:CQ12,2,FALSE)</f>
        <v>宿敵</v>
      </c>
      <c r="D8" t="s">
        <v>439</v>
      </c>
      <c r="E8">
        <f>作成シート!C8</f>
        <v>2</v>
      </c>
    </row>
    <row r="9" spans="2:8">
      <c r="B9" t="s">
        <v>11</v>
      </c>
      <c r="C9" t="str">
        <f>作成シート!C9</f>
        <v>白磁等級</v>
      </c>
    </row>
    <row r="10" spans="2:8">
      <c r="B10" t="s">
        <v>13</v>
      </c>
      <c r="C10" t="str">
        <f>IF(作成シート!C10="","",作成シート!C10)</f>
        <v/>
      </c>
    </row>
    <row r="11" spans="2:8">
      <c r="B11" t="s">
        <v>14</v>
      </c>
      <c r="C11" t="str">
        <f>IF(作成シート!C11="","",作成シート!C11)</f>
        <v/>
      </c>
    </row>
    <row r="12" spans="2:8">
      <c r="B12" t="s">
        <v>15</v>
      </c>
      <c r="C12" t="str">
        <f>IF(作成シート!C12="","",作成シート!C12)</f>
        <v/>
      </c>
    </row>
    <row r="13" spans="2:8">
      <c r="B13" t="s">
        <v>442</v>
      </c>
      <c r="C13" t="str">
        <f>VLOOKUP(H13,固定値!BV2:BW19,2,FALSE)</f>
        <v>英雄に憧れて</v>
      </c>
      <c r="D13" t="s">
        <v>439</v>
      </c>
      <c r="E13" t="str">
        <f>作成シート!C13</f>
        <v>5,6</v>
      </c>
      <c r="F13" t="s">
        <v>439</v>
      </c>
      <c r="G13">
        <f>作成シート!C14</f>
        <v>1</v>
      </c>
      <c r="H13" t="str">
        <f>E13&amp;"-"&amp;G13</f>
        <v>5,6-1</v>
      </c>
    </row>
    <row r="14" spans="2:8">
      <c r="B14" t="s">
        <v>18</v>
      </c>
      <c r="C14" t="str">
        <f>IF(作成シート!C15="","",作成シート!C15)</f>
        <v/>
      </c>
    </row>
    <row r="15" spans="2:8">
      <c r="B15" t="s">
        <v>21</v>
      </c>
      <c r="C15" t="str">
        <f>作成シート!$C$28</f>
        <v>固定値</v>
      </c>
    </row>
    <row r="16" spans="2:8">
      <c r="B16" t="s">
        <v>23</v>
      </c>
      <c r="C16">
        <f>作成シート!C17</f>
        <v>5</v>
      </c>
      <c r="D16" t="s">
        <v>22</v>
      </c>
      <c r="E16">
        <f>VLOOKUP(B16, 固定値!$A$1:$B$4,2,FALSE)</f>
        <v>5</v>
      </c>
    </row>
    <row r="17" spans="2:5">
      <c r="B17" t="s">
        <v>24</v>
      </c>
      <c r="C17">
        <f>作成シート!C18</f>
        <v>7</v>
      </c>
      <c r="D17" t="s">
        <v>22</v>
      </c>
      <c r="E17">
        <f>VLOOKUP(B17, 固定値!$A$1:$B$4,2,FALSE)</f>
        <v>7</v>
      </c>
    </row>
    <row r="18" spans="2:5">
      <c r="B18" t="s">
        <v>25</v>
      </c>
      <c r="C18">
        <f>作成シート!C19</f>
        <v>9</v>
      </c>
      <c r="D18" t="s">
        <v>22</v>
      </c>
      <c r="E18">
        <f>VLOOKUP(B18, 固定値!$A$1:$B$4,2,FALSE)</f>
        <v>9</v>
      </c>
    </row>
    <row r="19" spans="2:5">
      <c r="B19" t="s">
        <v>26</v>
      </c>
      <c r="C19" t="str">
        <f>作成シート!C20</f>
        <v>固定値</v>
      </c>
    </row>
    <row r="20" spans="2:5">
      <c r="B20" s="87" t="s">
        <v>19</v>
      </c>
      <c r="C20" s="27" t="str">
        <f>作成シート!C16</f>
        <v>なし</v>
      </c>
    </row>
  </sheetData>
  <sheetProtection sheet="1" objects="1" scenarios="1" selectLockedCells="1" selectUnlockedCells="1"/>
  <phoneticPr fontId="2"/>
  <dataValidations count="2">
    <dataValidation type="list" allowBlank="1" showInputMessage="1" showErrorMessage="1" sqref="C9">
      <formula1>冒険者等級</formula1>
    </dataValidation>
    <dataValidation type="list" allowBlank="1" showInputMessage="1" showErrorMessage="1" sqref="C20">
      <formula1>信仰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ラベル!$A$2:$A$3</xm:f>
          </x14:formula1>
          <xm:sqref>C15:C19</xm:sqref>
        </x14:dataValidation>
        <x14:dataValidation type="list" allowBlank="1" showInputMessage="1" showErrorMessage="1">
          <x14:formula1>
            <xm:f>固定値!$BW$2:$BW$19</xm:f>
          </x14:formula1>
          <xm:sqref>C13</xm:sqref>
        </x14:dataValidation>
        <x14:dataValidation type="list" allowBlank="1" showInputMessage="1" showErrorMessage="1">
          <x14:formula1>
            <xm:f>ラベル!$U$2:$U$12</xm:f>
          </x14:formula1>
          <xm:sqref>E6:E8</xm:sqref>
        </x14:dataValidation>
        <x14:dataValidation type="list" allowBlank="1" showInputMessage="1" showErrorMessage="1">
          <x14:formula1>
            <xm:f>ラベル!$Z$2:$Z$4</xm:f>
          </x14:formula1>
          <xm:sqref>E13</xm:sqref>
        </x14:dataValidation>
        <x14:dataValidation type="list" allowBlank="1" showInputMessage="1" showErrorMessage="1">
          <x14:formula1>
            <xm:f>ラベル!$AA$2:$AA$7</xm:f>
          </x14:formula1>
          <xm:sqref>G13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T79"/>
  <sheetViews>
    <sheetView workbookViewId="0">
      <selection activeCell="N83" sqref="N83"/>
    </sheetView>
  </sheetViews>
  <sheetFormatPr defaultRowHeight="13"/>
  <sheetData>
    <row r="2" spans="2:13">
      <c r="D2" t="s">
        <v>22</v>
      </c>
      <c r="E2" t="s">
        <v>443</v>
      </c>
      <c r="F2" t="s">
        <v>444</v>
      </c>
      <c r="G2" t="s">
        <v>445</v>
      </c>
    </row>
    <row r="3" spans="2:13">
      <c r="B3" t="s">
        <v>446</v>
      </c>
    </row>
    <row r="4" spans="2:13">
      <c r="C4" t="s">
        <v>447</v>
      </c>
      <c r="D4">
        <f>VLOOKUP(C4,固定値!$D$1:$I$9,VLOOKUP(プロフィール!$C$3,固定値!$K$1:$L$6,2,FALSE),FALSE)</f>
        <v>3</v>
      </c>
      <c r="E4">
        <f>作成シート!C21</f>
        <v>0</v>
      </c>
      <c r="F4">
        <f>IF(作成シート!$C$29=C4,1,0)</f>
        <v>0</v>
      </c>
      <c r="G4">
        <f>IF(プロフィール!$C$15="固定値",D4,E4)+F4</f>
        <v>3</v>
      </c>
      <c r="H4" t="str">
        <f>DBCS(G4)</f>
        <v>３</v>
      </c>
    </row>
    <row r="5" spans="2:13">
      <c r="C5" t="s">
        <v>448</v>
      </c>
      <c r="D5">
        <f>VLOOKUP(C5,固定値!$D$1:$I$9,VLOOKUP(プロフィール!$C$3,固定値!$K$1:$L$6,2,FALSE),FALSE)</f>
        <v>2</v>
      </c>
      <c r="E5">
        <f>作成シート!C22</f>
        <v>0</v>
      </c>
      <c r="F5">
        <f>IF(作成シート!$C$29=C5,1,0)</f>
        <v>0</v>
      </c>
      <c r="G5">
        <f>IF(プロフィール!$C$15="固定値",D5,E5)+F5</f>
        <v>2</v>
      </c>
      <c r="H5" t="str">
        <f>DBCS(G5)</f>
        <v>２</v>
      </c>
    </row>
    <row r="6" spans="2:13">
      <c r="C6" t="s">
        <v>449</v>
      </c>
      <c r="D6">
        <f>VLOOKUP(C6,固定値!$D$1:$I$9,VLOOKUP(プロフィール!$C$3,固定値!$K$1:$L$6,2,FALSE),FALSE)</f>
        <v>2</v>
      </c>
      <c r="E6">
        <f>作成シート!C23</f>
        <v>0</v>
      </c>
      <c r="F6">
        <f>IF(作成シート!$C$29=C6,1,0)</f>
        <v>1</v>
      </c>
      <c r="G6">
        <f>IF(プロフィール!$C$15="固定値",D6,E6)+F6</f>
        <v>3</v>
      </c>
      <c r="H6" t="str">
        <f>DBCS(G6)</f>
        <v>３</v>
      </c>
    </row>
    <row r="7" spans="2:13">
      <c r="C7" t="s">
        <v>35</v>
      </c>
      <c r="D7">
        <f>VLOOKUP(C7,固定値!$D$1:$I$9,VLOOKUP(プロフィール!$C$3,固定値!$K$1:$L$6,2,FALSE),FALSE)</f>
        <v>3</v>
      </c>
      <c r="E7">
        <f>作成シート!C24</f>
        <v>0</v>
      </c>
      <c r="F7">
        <f>IF(作成シート!$C$29=C7,1,0)</f>
        <v>0</v>
      </c>
      <c r="G7">
        <f>IF(プロフィール!$C$15="固定値",D7,E7)+F7</f>
        <v>3</v>
      </c>
      <c r="H7" t="str">
        <f>DBCS(G7)</f>
        <v>３</v>
      </c>
    </row>
    <row r="8" spans="2:13">
      <c r="J8" t="s">
        <v>447</v>
      </c>
      <c r="K8" t="s">
        <v>448</v>
      </c>
      <c r="L8" t="s">
        <v>449</v>
      </c>
      <c r="M8" t="s">
        <v>35</v>
      </c>
    </row>
    <row r="9" spans="2:13">
      <c r="B9" t="s">
        <v>450</v>
      </c>
      <c r="J9">
        <f>G4</f>
        <v>3</v>
      </c>
      <c r="K9">
        <f>G5</f>
        <v>2</v>
      </c>
      <c r="L9">
        <f>G6</f>
        <v>3</v>
      </c>
      <c r="M9">
        <f>G7</f>
        <v>3</v>
      </c>
    </row>
    <row r="10" spans="2:13">
      <c r="C10" t="s">
        <v>451</v>
      </c>
      <c r="D10">
        <f>VLOOKUP(C10,固定値!$D$1:$I$9,VLOOKUP(プロフィール!$C$3,固定値!$K$1:$L$6,2,FALSE),FALSE)</f>
        <v>2</v>
      </c>
      <c r="E10">
        <f>作成シート!C25</f>
        <v>0</v>
      </c>
      <c r="G10">
        <f>IF(プロフィール!$C$15="固定値",D10,E10)+F10</f>
        <v>2</v>
      </c>
      <c r="H10" t="str">
        <f>DBCS(G10)</f>
        <v>２</v>
      </c>
      <c r="I10" t="s">
        <v>451</v>
      </c>
      <c r="J10" t="str">
        <f>DBCS($G10+J$9)</f>
        <v>５</v>
      </c>
      <c r="K10" t="str">
        <f t="shared" ref="K10:M12" si="0">DBCS($G10+K$9)</f>
        <v>４</v>
      </c>
      <c r="L10" t="str">
        <f t="shared" si="0"/>
        <v>５</v>
      </c>
      <c r="M10" t="str">
        <f t="shared" si="0"/>
        <v>５</v>
      </c>
    </row>
    <row r="11" spans="2:13">
      <c r="C11" t="s">
        <v>452</v>
      </c>
      <c r="D11">
        <f>VLOOKUP(C11,固定値!$D$1:$I$9,VLOOKUP(プロフィール!$C$3,固定値!$K$1:$L$6,2,FALSE),FALSE)</f>
        <v>4</v>
      </c>
      <c r="E11">
        <f>作成シート!C26</f>
        <v>0</v>
      </c>
      <c r="G11">
        <f>IF(プロフィール!$C$15="固定値",D11,E11)+F11</f>
        <v>4</v>
      </c>
      <c r="H11" t="str">
        <f>DBCS(G11)</f>
        <v>４</v>
      </c>
      <c r="I11" t="s">
        <v>452</v>
      </c>
      <c r="J11" t="str">
        <f t="shared" ref="J11:J12" si="1">DBCS($G11+J$9)</f>
        <v>７</v>
      </c>
      <c r="K11" t="str">
        <f t="shared" si="0"/>
        <v>６</v>
      </c>
      <c r="L11" t="str">
        <f t="shared" si="0"/>
        <v>７</v>
      </c>
      <c r="M11" t="str">
        <f t="shared" si="0"/>
        <v>７</v>
      </c>
    </row>
    <row r="12" spans="2:13">
      <c r="C12" t="s">
        <v>453</v>
      </c>
      <c r="D12">
        <f>VLOOKUP(C12,固定値!$D$1:$I$9,VLOOKUP(プロフィール!$C$3,固定値!$K$1:$L$6,2,FALSE),FALSE)</f>
        <v>2</v>
      </c>
      <c r="E12">
        <f>作成シート!C27</f>
        <v>0</v>
      </c>
      <c r="G12">
        <f>IF(プロフィール!$C$15="固定値",D12,E12)+F12</f>
        <v>2</v>
      </c>
      <c r="H12" t="str">
        <f>DBCS(G12)</f>
        <v>２</v>
      </c>
      <c r="I12" t="s">
        <v>453</v>
      </c>
      <c r="J12" t="str">
        <f t="shared" si="1"/>
        <v>５</v>
      </c>
      <c r="K12" t="str">
        <f t="shared" si="0"/>
        <v>４</v>
      </c>
      <c r="L12" t="str">
        <f t="shared" si="0"/>
        <v>５</v>
      </c>
      <c r="M12" t="str">
        <f t="shared" si="0"/>
        <v>５</v>
      </c>
    </row>
    <row r="16" spans="2:13">
      <c r="B16" s="14" t="s">
        <v>454</v>
      </c>
    </row>
    <row r="17" spans="2:20">
      <c r="B17" s="14" t="s">
        <v>455</v>
      </c>
    </row>
    <row r="18" spans="2:20">
      <c r="B18" s="14" t="str">
        <f>"　　　　│　"&amp;H4&amp;"　│　"&amp;H5&amp;"　│　"&amp;H6&amp;"　│　"&amp;H7&amp;"　│"</f>
        <v>　　　　│　３　│　２　│　３　│　３　│</v>
      </c>
    </row>
    <row r="19" spans="2:20">
      <c r="B19" s="14" t="s">
        <v>456</v>
      </c>
    </row>
    <row r="20" spans="2:20">
      <c r="B20" s="14" t="s">
        <v>457</v>
      </c>
    </row>
    <row r="21" spans="2:20">
      <c r="B21" s="14" t="str">
        <f>"│　"&amp;H10&amp;"　│　"&amp;J10&amp;"　│　"&amp;K10&amp;"　│　"&amp;L10&amp;"　│　"&amp;M10&amp;"　│"</f>
        <v>│　２　│　５　│　４　│　５　│　５　│</v>
      </c>
    </row>
    <row r="22" spans="2:20">
      <c r="B22" s="14" t="s">
        <v>458</v>
      </c>
    </row>
    <row r="23" spans="2:20">
      <c r="B23" s="14" t="s">
        <v>459</v>
      </c>
    </row>
    <row r="24" spans="2:20">
      <c r="B24" s="14" t="str">
        <f>"│　"&amp;H11&amp;"　│　"&amp;J11&amp;"　│　"&amp;K11&amp;"　│　"&amp;L11&amp;"　│　"&amp;M11&amp;"　│"</f>
        <v>│　４　│　７　│　６　│　７　│　７　│</v>
      </c>
    </row>
    <row r="25" spans="2:20">
      <c r="B25" s="14" t="s">
        <v>458</v>
      </c>
    </row>
    <row r="26" spans="2:20">
      <c r="B26" s="14" t="s">
        <v>460</v>
      </c>
    </row>
    <row r="27" spans="2:20">
      <c r="B27" s="14" t="str">
        <f>"│　"&amp;H12&amp;"　│　"&amp;J12&amp;"　│　"&amp;K12&amp;"　│　"&amp;L12&amp;"　│　"&amp;M12&amp;"　│"</f>
        <v>│　２　│　５　│　４　│　５　│　５　│</v>
      </c>
    </row>
    <row r="28" spans="2:20">
      <c r="B28" s="14" t="s">
        <v>461</v>
      </c>
    </row>
    <row r="31" spans="2:20">
      <c r="N31" t="s">
        <v>462</v>
      </c>
      <c r="P31" t="s">
        <v>463</v>
      </c>
      <c r="R31" t="s">
        <v>464</v>
      </c>
      <c r="T31" t="s">
        <v>465</v>
      </c>
    </row>
    <row r="32" spans="2:20">
      <c r="C32" t="s">
        <v>144</v>
      </c>
      <c r="D32" s="4">
        <f t="shared" ref="D32:D35" si="2">F32+H32+J32+L32+N32+P32+R32+T32</f>
        <v>6</v>
      </c>
      <c r="E32" t="s">
        <v>196</v>
      </c>
      <c r="F32" t="str">
        <f>$J$12</f>
        <v>５</v>
      </c>
      <c r="G32" t="s">
        <v>466</v>
      </c>
      <c r="H32" s="4">
        <f>冒険者職業レベル!$D$19</f>
        <v>1</v>
      </c>
      <c r="I32" t="s">
        <v>467</v>
      </c>
      <c r="J32">
        <f>IF(I32="",0,VLOOKUP(I32,冒険者技能!$C$3:$K$67,9,FALSE))</f>
        <v>0</v>
      </c>
      <c r="L32">
        <f>IF(K32="",0,VLOOKUP(K32,一般技能!$B$3:$I$47,8,FALSE))</f>
        <v>0</v>
      </c>
      <c r="R32">
        <f>その他の所持品!E1</f>
        <v>0</v>
      </c>
    </row>
    <row r="33" spans="3:16">
      <c r="C33" t="s">
        <v>150</v>
      </c>
      <c r="D33" s="4">
        <f t="shared" si="2"/>
        <v>5</v>
      </c>
      <c r="E33" t="s">
        <v>197</v>
      </c>
      <c r="F33" t="str">
        <f>$K$12</f>
        <v>４</v>
      </c>
      <c r="G33" t="s">
        <v>466</v>
      </c>
      <c r="H33" s="4">
        <f>冒険者職業レベル!$D$19</f>
        <v>1</v>
      </c>
      <c r="J33">
        <f>IF(I33="",0,VLOOKUP(I33,冒険者技能!$C$3:$K$67,9,FALSE))</f>
        <v>0</v>
      </c>
      <c r="K33" t="s">
        <v>468</v>
      </c>
      <c r="L33">
        <f>IF(K33="",0,VLOOKUP(K33,一般技能!$B$3:$I$47,8,FALSE))</f>
        <v>0</v>
      </c>
    </row>
    <row r="34" spans="3:16">
      <c r="C34" t="s">
        <v>155</v>
      </c>
      <c r="D34" s="4">
        <f t="shared" si="2"/>
        <v>6</v>
      </c>
      <c r="E34" t="s">
        <v>199</v>
      </c>
      <c r="F34" t="str">
        <f>$M$12</f>
        <v>５</v>
      </c>
      <c r="G34" t="s">
        <v>466</v>
      </c>
      <c r="H34" s="4">
        <f>冒険者職業レベル!$D$19</f>
        <v>1</v>
      </c>
      <c r="J34">
        <f>IF(I34="",0,VLOOKUP(I34,冒険者技能!$C$3:$K$67,9,FALSE))</f>
        <v>0</v>
      </c>
      <c r="K34" t="s">
        <v>468</v>
      </c>
      <c r="L34">
        <f>IF(K34="",0,VLOOKUP(K34,一般技能!$B$3:$I$47,8,FALSE))</f>
        <v>0</v>
      </c>
    </row>
    <row r="35" spans="3:16">
      <c r="C35" t="s">
        <v>160</v>
      </c>
      <c r="D35" s="4">
        <f t="shared" si="2"/>
        <v>5</v>
      </c>
      <c r="E35" t="s">
        <v>197</v>
      </c>
      <c r="F35" t="str">
        <f>$K$12</f>
        <v>４</v>
      </c>
      <c r="G35" t="s">
        <v>466</v>
      </c>
      <c r="H35" s="4">
        <f>冒険者職業レベル!$D$19</f>
        <v>1</v>
      </c>
      <c r="I35" t="s">
        <v>160</v>
      </c>
      <c r="J35">
        <f>IF(I35="",0,VLOOKUP(I35,冒険者技能!$C$3:$K$67,9,FALSE))</f>
        <v>0</v>
      </c>
      <c r="L35">
        <f>IF(K35="",0,VLOOKUP(K35,一般技能!$B$3:$I$47,8,FALSE))</f>
        <v>0</v>
      </c>
    </row>
    <row r="37" spans="3:16">
      <c r="C37" t="s">
        <v>165</v>
      </c>
      <c r="D37" s="4">
        <f t="shared" ref="D37:D40" si="3">F37+H37+J37+L37+N37+P37+R37+T37</f>
        <v>9</v>
      </c>
      <c r="E37" t="s">
        <v>186</v>
      </c>
      <c r="F37" t="str">
        <f>$J$10</f>
        <v>５</v>
      </c>
      <c r="G37" t="s">
        <v>469</v>
      </c>
      <c r="H37">
        <f>MAX(冒険者職業レベル!$E$3,冒険者職業レベル!$E$4)</f>
        <v>3</v>
      </c>
      <c r="I37" t="s">
        <v>470</v>
      </c>
      <c r="J37">
        <f>IF(I37="",0,VLOOKUP(I37,冒険者技能!$C$3:$K$67,9,FALSE))</f>
        <v>1</v>
      </c>
      <c r="L37">
        <f>IF(K37="",0,VLOOKUP(K37,一般技能!$B$3:$I$47,8,FALSE))</f>
        <v>0</v>
      </c>
    </row>
    <row r="38" spans="3:16">
      <c r="C38" t="s">
        <v>170</v>
      </c>
      <c r="D38" s="4">
        <f t="shared" si="3"/>
        <v>11</v>
      </c>
      <c r="E38" t="s">
        <v>191</v>
      </c>
      <c r="F38" t="str">
        <f>$J$11</f>
        <v>７</v>
      </c>
      <c r="G38" t="s">
        <v>469</v>
      </c>
      <c r="H38">
        <f>MAX(冒険者職業レベル!$E$3,冒険者職業レベル!$E$4)</f>
        <v>3</v>
      </c>
      <c r="I38" t="s">
        <v>470</v>
      </c>
      <c r="J38">
        <f>IF(I38="",0,VLOOKUP(I38,冒険者技能!$C$3:$K$67,9,FALSE))</f>
        <v>1</v>
      </c>
      <c r="L38">
        <f>IF(K38="",0,VLOOKUP(K38,一般技能!$B$3:$I$47,8,FALSE))</f>
        <v>0</v>
      </c>
    </row>
    <row r="39" spans="3:16">
      <c r="C39" t="s">
        <v>175</v>
      </c>
      <c r="D39" s="4">
        <f t="shared" si="3"/>
        <v>9</v>
      </c>
      <c r="E39" t="s">
        <v>186</v>
      </c>
      <c r="F39" t="str">
        <f>$J$10</f>
        <v>５</v>
      </c>
      <c r="G39" t="s">
        <v>469</v>
      </c>
      <c r="H39">
        <f>MAX(冒険者職業レベル!$E$3,冒険者職業レベル!$E$4)</f>
        <v>3</v>
      </c>
      <c r="I39" t="s">
        <v>470</v>
      </c>
      <c r="J39">
        <f>IF(I39="",0,VLOOKUP(I39,冒険者技能!$C$3:$K$67,9,FALSE))</f>
        <v>1</v>
      </c>
      <c r="L39">
        <f>IF(K39="",0,VLOOKUP(K39,一般技能!$B$3:$I$47,8,FALSE))</f>
        <v>0</v>
      </c>
    </row>
    <row r="40" spans="3:16">
      <c r="C40" t="s">
        <v>180</v>
      </c>
      <c r="D40" s="4">
        <f t="shared" si="3"/>
        <v>11</v>
      </c>
      <c r="E40" t="s">
        <v>191</v>
      </c>
      <c r="F40" t="str">
        <f>$J$11</f>
        <v>７</v>
      </c>
      <c r="G40" t="s">
        <v>469</v>
      </c>
      <c r="H40">
        <f>MAX(冒険者職業レベル!$E$3,冒険者職業レベル!$E$4)</f>
        <v>3</v>
      </c>
      <c r="I40" t="s">
        <v>470</v>
      </c>
      <c r="J40">
        <f>IF(I40="",0,VLOOKUP(I40,冒険者技能!$C$3:$K$67,9,FALSE))</f>
        <v>1</v>
      </c>
      <c r="L40">
        <f>IF(K40="",0,VLOOKUP(K40,一般技能!$B$3:$I$47,8,FALSE))</f>
        <v>0</v>
      </c>
      <c r="N40">
        <f>装備!$AR$13</f>
        <v>0</v>
      </c>
    </row>
    <row r="42" spans="3:16">
      <c r="C42" t="s">
        <v>145</v>
      </c>
      <c r="D42" s="4">
        <f t="shared" ref="D42:D45" si="4">F42+H42+J42+L42+N42+P42+R42+T42</f>
        <v>2</v>
      </c>
      <c r="E42" t="s">
        <v>188</v>
      </c>
      <c r="F42" t="str">
        <f>$L$10</f>
        <v>５</v>
      </c>
      <c r="G42" t="s">
        <v>466</v>
      </c>
      <c r="H42" s="4">
        <f>冒険者職業レベル!$D$19</f>
        <v>1</v>
      </c>
      <c r="I42" t="s">
        <v>471</v>
      </c>
      <c r="J42">
        <f>IF(I42="",0,VLOOKUP(I42,冒険者技能!$C$3:$K$67,9,FALSE))</f>
        <v>0</v>
      </c>
      <c r="L42">
        <f>IF(K42="",0,VLOOKUP(K42,一般技能!$B$3:$I$47,8,FALSE))</f>
        <v>0</v>
      </c>
      <c r="N42">
        <f>装備!AK13</f>
        <v>-4</v>
      </c>
      <c r="P42">
        <f>装備!$BA$1</f>
        <v>0</v>
      </c>
    </row>
    <row r="43" spans="3:16">
      <c r="C43" t="s">
        <v>151</v>
      </c>
      <c r="D43" s="4">
        <f t="shared" si="4"/>
        <v>5</v>
      </c>
      <c r="E43" t="s">
        <v>188</v>
      </c>
      <c r="F43" t="str">
        <f>$L$10</f>
        <v>５</v>
      </c>
      <c r="G43" t="s">
        <v>472</v>
      </c>
      <c r="H43">
        <f>MAX(冒険者職業レベル!$E$5,冒険者職業レベル!$E$6)</f>
        <v>0</v>
      </c>
      <c r="I43" t="s">
        <v>471</v>
      </c>
      <c r="J43">
        <f>IF(I43="",0,VLOOKUP(I43,冒険者技能!$C$3:$K$67,9,FALSE))</f>
        <v>0</v>
      </c>
      <c r="L43">
        <f>IF(K43="",0,VLOOKUP(K43,一般技能!$B$3:$I$47,8,FALSE))</f>
        <v>0</v>
      </c>
      <c r="N43">
        <f>装備!$AR$13</f>
        <v>0</v>
      </c>
      <c r="P43">
        <f>装備!$BA$1</f>
        <v>0</v>
      </c>
    </row>
    <row r="44" spans="3:16">
      <c r="C44" t="s">
        <v>156</v>
      </c>
      <c r="D44" s="4">
        <f t="shared" si="4"/>
        <v>5</v>
      </c>
      <c r="E44" t="s">
        <v>188</v>
      </c>
      <c r="F44" t="str">
        <f>$L$10</f>
        <v>５</v>
      </c>
      <c r="G44" t="s">
        <v>473</v>
      </c>
      <c r="H44">
        <f>MAX(冒険者職業レベル!$E$5,冒険者職業レベル!$E$6,冒険者職業レベル!$E$4)</f>
        <v>0</v>
      </c>
      <c r="I44" t="s">
        <v>471</v>
      </c>
      <c r="J44">
        <f>IF(I44="",0,VLOOKUP(I44,冒険者技能!$C$3:$K$67,9,FALSE))</f>
        <v>0</v>
      </c>
      <c r="L44">
        <f>IF(K44="",0,VLOOKUP(K44,一般技能!$B$3:$I$47,8,FALSE))</f>
        <v>0</v>
      </c>
      <c r="P44">
        <f>装備!$BA$1</f>
        <v>0</v>
      </c>
    </row>
    <row r="45" spans="3:16">
      <c r="C45" t="s">
        <v>161</v>
      </c>
      <c r="D45" s="4">
        <f t="shared" si="4"/>
        <v>5</v>
      </c>
      <c r="E45" t="s">
        <v>188</v>
      </c>
      <c r="F45" t="str">
        <f>$L$10</f>
        <v>５</v>
      </c>
      <c r="G45" t="s">
        <v>473</v>
      </c>
      <c r="H45">
        <f>MAX(冒険者職業レベル!$E$5,冒険者職業レベル!$E$6,冒険者職業レベル!$E$4)</f>
        <v>0</v>
      </c>
      <c r="I45" t="s">
        <v>471</v>
      </c>
      <c r="J45">
        <f>IF(I45="",0,VLOOKUP(I45,冒険者技能!$C$3:$K$67,9,FALSE))</f>
        <v>0</v>
      </c>
      <c r="L45">
        <f>IF(K45="",0,VLOOKUP(K45,一般技能!$B$3:$I$47,8,FALSE))</f>
        <v>0</v>
      </c>
      <c r="N45">
        <f>装備!$AT$13</f>
        <v>0</v>
      </c>
      <c r="P45">
        <f>装備!$BA$1</f>
        <v>0</v>
      </c>
    </row>
    <row r="47" spans="3:16">
      <c r="C47" t="s">
        <v>166</v>
      </c>
      <c r="D47" s="4">
        <f>F47+H47+J47+L47+N47+P47+R47+T47</f>
        <v>5</v>
      </c>
      <c r="E47" t="s">
        <v>188</v>
      </c>
      <c r="F47" t="str">
        <f>$L$10</f>
        <v>５</v>
      </c>
      <c r="G47" t="s">
        <v>474</v>
      </c>
      <c r="I47" t="s">
        <v>166</v>
      </c>
      <c r="J47">
        <f>IF(I47="",0,VLOOKUP(I47,冒険者技能!$C$3:$K$67,9,FALSE))</f>
        <v>0</v>
      </c>
      <c r="L47">
        <f>IF(K47="",0,VLOOKUP(K47,一般技能!$B$3:$I$47,8,FALSE))</f>
        <v>0</v>
      </c>
    </row>
    <row r="48" spans="3:16">
      <c r="C48" t="s">
        <v>171</v>
      </c>
      <c r="D48" s="4">
        <f>F48+H48+J48+L48+N48+P48+R48+T48</f>
        <v>5</v>
      </c>
      <c r="E48" t="s">
        <v>188</v>
      </c>
      <c r="F48" t="str">
        <f>$L$10</f>
        <v>５</v>
      </c>
      <c r="G48" t="s">
        <v>472</v>
      </c>
      <c r="H48">
        <f>MAX(冒険者職業レベル!$E$5,冒険者職業レベル!$E$6)</f>
        <v>0</v>
      </c>
      <c r="I48" t="s">
        <v>475</v>
      </c>
      <c r="J48">
        <f>IF(I48="",0,VLOOKUP(I48,冒険者技能!$C$3:$K$67,9,FALSE))</f>
        <v>0</v>
      </c>
      <c r="L48">
        <f>IF(K48="",0,VLOOKUP(K48,一般技能!$B$3:$I$47,8,FALSE))</f>
        <v>0</v>
      </c>
    </row>
    <row r="49" spans="3:20">
      <c r="C49" t="s">
        <v>176</v>
      </c>
      <c r="D49" s="4">
        <f>F49+H49+J49+L49+N49+P49+R49+T49</f>
        <v>7</v>
      </c>
      <c r="E49" t="s">
        <v>193</v>
      </c>
      <c r="F49" t="str">
        <f>$L$11</f>
        <v>７</v>
      </c>
      <c r="G49" t="s">
        <v>472</v>
      </c>
      <c r="H49">
        <f>MAX(冒険者職業レベル!$E$5,冒険者職業レベル!$E$6)</f>
        <v>0</v>
      </c>
      <c r="I49" t="s">
        <v>475</v>
      </c>
      <c r="J49">
        <f>IF(I49="",0,VLOOKUP(I49,冒険者技能!$C$3:$K$67,9,FALSE))</f>
        <v>0</v>
      </c>
      <c r="L49">
        <f>IF(K49="",0,VLOOKUP(K49,一般技能!$B$3:$I$47,8,FALSE))</f>
        <v>0</v>
      </c>
    </row>
    <row r="50" spans="3:20">
      <c r="C50" t="s">
        <v>181</v>
      </c>
      <c r="D50" s="4">
        <f>F50+H50+J50+L50+N50+P50+R50+T50</f>
        <v>5</v>
      </c>
      <c r="E50" t="s">
        <v>198</v>
      </c>
      <c r="F50" t="str">
        <f>$L$12</f>
        <v>５</v>
      </c>
      <c r="G50" t="s">
        <v>472</v>
      </c>
      <c r="H50">
        <f>MAX(冒険者職業レベル!$E$5,冒険者職業レベル!$E$6)</f>
        <v>0</v>
      </c>
      <c r="I50" t="s">
        <v>475</v>
      </c>
      <c r="J50">
        <f>IF(I50="",0,VLOOKUP(I50,冒険者技能!$C$3:$K$67,9,FALSE))</f>
        <v>0</v>
      </c>
      <c r="L50">
        <f>IF(K50="",0,VLOOKUP(K50,一般技能!$B$3:$I$47,8,FALSE))</f>
        <v>0</v>
      </c>
    </row>
    <row r="52" spans="3:20">
      <c r="C52" t="s">
        <v>146</v>
      </c>
      <c r="D52" s="4">
        <f>F52+H52+J52+L52+N52+P52+R52+T52</f>
        <v>-3</v>
      </c>
      <c r="E52" t="s">
        <v>188</v>
      </c>
      <c r="F52" t="str">
        <f>$L$10</f>
        <v>５</v>
      </c>
      <c r="G52" t="s">
        <v>472</v>
      </c>
      <c r="H52">
        <f>MAX(冒険者職業レベル!$E$5,冒険者職業レベル!$E$6)</f>
        <v>0</v>
      </c>
      <c r="I52" t="s">
        <v>146</v>
      </c>
      <c r="J52">
        <f>IF(I52="",0,VLOOKUP(I52,冒険者技能!$C$3:$K$67,9,FALSE))</f>
        <v>0</v>
      </c>
      <c r="L52">
        <f>IF(K52="",0,VLOOKUP(K52,一般技能!$B$3:$I$47,8,FALSE))</f>
        <v>0</v>
      </c>
      <c r="N52">
        <f>装備!$AS$13</f>
        <v>-4</v>
      </c>
      <c r="T52">
        <f>装備!$AJ$17</f>
        <v>-4</v>
      </c>
    </row>
    <row r="53" spans="3:20">
      <c r="C53" t="s">
        <v>152</v>
      </c>
      <c r="D53" s="4">
        <f>F53+H53+J53+L53+N53+P53+R53+T53</f>
        <v>-1</v>
      </c>
      <c r="E53" t="s">
        <v>193</v>
      </c>
      <c r="F53" t="str">
        <f>$L$11</f>
        <v>７</v>
      </c>
      <c r="G53" t="s">
        <v>472</v>
      </c>
      <c r="H53">
        <f>MAX(冒険者職業レベル!$E$5,冒険者職業レベル!$E$6)</f>
        <v>0</v>
      </c>
      <c r="I53" t="s">
        <v>146</v>
      </c>
      <c r="J53">
        <f>IF(I53="",0,VLOOKUP(I53,冒険者技能!$C$3:$K$67,9,FALSE))</f>
        <v>0</v>
      </c>
      <c r="L53">
        <f>IF(K53="",0,VLOOKUP(K53,一般技能!$B$3:$I$47,8,FALSE))</f>
        <v>0</v>
      </c>
      <c r="N53">
        <f>装備!$AS$13</f>
        <v>-4</v>
      </c>
      <c r="T53">
        <f>装備!$AJ$17</f>
        <v>-4</v>
      </c>
    </row>
    <row r="54" spans="3:20">
      <c r="C54" t="s">
        <v>157</v>
      </c>
      <c r="D54" s="4">
        <f>F54+H54+J54+L54+N54+P54+R54+T54</f>
        <v>-3</v>
      </c>
      <c r="E54" t="s">
        <v>198</v>
      </c>
      <c r="F54" t="str">
        <f>$L$12</f>
        <v>５</v>
      </c>
      <c r="G54" t="s">
        <v>472</v>
      </c>
      <c r="H54">
        <f>MAX(冒険者職業レベル!$E$5,冒険者職業レベル!$E$6)</f>
        <v>0</v>
      </c>
      <c r="I54" t="s">
        <v>146</v>
      </c>
      <c r="J54">
        <f>IF(I54="",0,VLOOKUP(I54,冒険者技能!$C$3:$K$67,9,FALSE))</f>
        <v>0</v>
      </c>
      <c r="L54">
        <f>IF(K54="",0,VLOOKUP(K54,一般技能!$B$3:$I$47,8,FALSE))</f>
        <v>0</v>
      </c>
      <c r="N54">
        <f>装備!$AS$13</f>
        <v>-4</v>
      </c>
      <c r="T54">
        <f>装備!$AJ$17</f>
        <v>-4</v>
      </c>
    </row>
    <row r="56" spans="3:20">
      <c r="C56" t="s">
        <v>167</v>
      </c>
      <c r="D56" s="4">
        <f t="shared" ref="D56:D59" si="5">F56+H56+J56+L56+N56+P56+R56+T56</f>
        <v>5</v>
      </c>
      <c r="E56" t="s">
        <v>189</v>
      </c>
      <c r="F56" t="str">
        <f>$M$10</f>
        <v>５</v>
      </c>
      <c r="G56" t="s">
        <v>476</v>
      </c>
      <c r="H56">
        <f>MAX(冒険者職業レベル!$E$7,冒険者職業レベル!$E$8,冒険者職業レベル!$E$9,冒険者職業レベル!$E$10)</f>
        <v>0</v>
      </c>
      <c r="I56" t="s">
        <v>167</v>
      </c>
      <c r="J56">
        <f>IF(I56="",0,VLOOKUP(I56,冒険者技能!$C$3:$K$67,9,FALSE))*2</f>
        <v>0</v>
      </c>
      <c r="L56">
        <f>IF(K56="",0,VLOOKUP(K56,一般技能!$B$3:$I$47,8,FALSE))</f>
        <v>0</v>
      </c>
    </row>
    <row r="57" spans="3:20">
      <c r="C57" t="s">
        <v>172</v>
      </c>
      <c r="D57" s="4">
        <f t="shared" si="5"/>
        <v>5</v>
      </c>
      <c r="E57" t="s">
        <v>189</v>
      </c>
      <c r="F57" t="str">
        <f>$M$10</f>
        <v>５</v>
      </c>
      <c r="G57" t="s">
        <v>477</v>
      </c>
      <c r="H57">
        <f>冒険者職業レベル!$E$7</f>
        <v>0</v>
      </c>
      <c r="J57">
        <f>IF(I57="",0,VLOOKUP(I57,冒険者技能!$C$3:$K$67,9,FALSE))</f>
        <v>0</v>
      </c>
      <c r="K57" t="s">
        <v>172</v>
      </c>
      <c r="L57">
        <f>IF(K57="",0,VLOOKUP(K57,一般技能!$B$3:$I$47,8,FALSE))</f>
        <v>0</v>
      </c>
    </row>
    <row r="58" spans="3:20">
      <c r="C58" t="s">
        <v>177</v>
      </c>
      <c r="D58" s="4">
        <f t="shared" si="5"/>
        <v>5</v>
      </c>
      <c r="E58" t="s">
        <v>189</v>
      </c>
      <c r="F58" t="str">
        <f>$M$10</f>
        <v>５</v>
      </c>
      <c r="G58" t="s">
        <v>477</v>
      </c>
      <c r="H58">
        <f>冒険者職業レベル!$E$7</f>
        <v>0</v>
      </c>
      <c r="J58">
        <f>IF(I58="",0,VLOOKUP(I58,冒険者技能!$C$3:$K$67,9,FALSE))</f>
        <v>0</v>
      </c>
      <c r="L58">
        <f>IF(K58="",0,VLOOKUP(K58,一般技能!$B$3:$I$47,8,FALSE))</f>
        <v>0</v>
      </c>
    </row>
    <row r="59" spans="3:20">
      <c r="C59" t="s">
        <v>182</v>
      </c>
      <c r="D59" s="4">
        <f t="shared" si="5"/>
        <v>7</v>
      </c>
      <c r="E59" t="s">
        <v>194</v>
      </c>
      <c r="F59" t="str">
        <f>$M$11</f>
        <v>７</v>
      </c>
      <c r="G59" t="s">
        <v>477</v>
      </c>
      <c r="H59">
        <f>冒険者職業レベル!$E$7</f>
        <v>0</v>
      </c>
      <c r="J59">
        <f>IF(I59="",0,VLOOKUP(I59,冒険者技能!$C$3:$K$67,9,FALSE))</f>
        <v>0</v>
      </c>
      <c r="K59" t="s">
        <v>182</v>
      </c>
      <c r="L59">
        <f>IF(K59="",0,VLOOKUP(K59,一般技能!$B$3:$I$47,8,FALSE))</f>
        <v>0</v>
      </c>
    </row>
    <row r="61" spans="3:20">
      <c r="C61" t="s">
        <v>147</v>
      </c>
      <c r="D61" s="4">
        <f t="shared" ref="D61:D64" si="6">F61+H61+J61+L61+N61+P61+R61+T61</f>
        <v>5</v>
      </c>
      <c r="E61" t="s">
        <v>189</v>
      </c>
      <c r="F61" t="str">
        <f>$M$10</f>
        <v>５</v>
      </c>
      <c r="G61" t="s">
        <v>472</v>
      </c>
      <c r="H61">
        <f>MAX(冒険者職業レベル!$E$5,冒険者職業レベル!$E$6)</f>
        <v>0</v>
      </c>
      <c r="I61" t="s">
        <v>478</v>
      </c>
      <c r="J61">
        <f>IF(I61="",0,VLOOKUP(I61,冒険者技能!$C$3:$K$67,9,FALSE))</f>
        <v>0</v>
      </c>
      <c r="L61">
        <f>IF(K61="",0,VLOOKUP(K61,一般技能!$B$3:$I$47,8,FALSE))</f>
        <v>0</v>
      </c>
    </row>
    <row r="62" spans="3:20">
      <c r="C62" t="s">
        <v>153</v>
      </c>
      <c r="D62" s="4">
        <f t="shared" si="6"/>
        <v>7</v>
      </c>
      <c r="E62" t="s">
        <v>194</v>
      </c>
      <c r="F62" t="str">
        <f>$M$11</f>
        <v>７</v>
      </c>
      <c r="G62" t="s">
        <v>472</v>
      </c>
      <c r="H62">
        <f>MAX(冒険者職業レベル!$E$5,冒険者職業レベル!$E$6)</f>
        <v>0</v>
      </c>
      <c r="I62" t="s">
        <v>478</v>
      </c>
      <c r="J62">
        <f>IF(I62="",0,VLOOKUP(I62,冒険者技能!$C$3:$K$67,9,FALSE))</f>
        <v>0</v>
      </c>
      <c r="L62">
        <f>IF(K62="",0,VLOOKUP(K62,一般技能!$B$3:$I$47,8,FALSE))</f>
        <v>0</v>
      </c>
    </row>
    <row r="63" spans="3:20">
      <c r="C63" t="s">
        <v>158</v>
      </c>
      <c r="D63" s="4">
        <f t="shared" si="6"/>
        <v>5</v>
      </c>
      <c r="E63" t="s">
        <v>199</v>
      </c>
      <c r="F63" t="str">
        <f>$M$12</f>
        <v>５</v>
      </c>
      <c r="G63" t="s">
        <v>472</v>
      </c>
      <c r="H63">
        <f>MAX(冒険者職業レベル!$E$5,冒険者職業レベル!$E$6)</f>
        <v>0</v>
      </c>
      <c r="I63" t="s">
        <v>478</v>
      </c>
      <c r="J63">
        <f>IF(I63="",0,VLOOKUP(I63,冒険者技能!$C$3:$K$67,9,FALSE))</f>
        <v>0</v>
      </c>
      <c r="L63">
        <f>IF(K63="",0,VLOOKUP(K63,一般技能!$B$3:$I$47,8,FALSE))</f>
        <v>0</v>
      </c>
    </row>
    <row r="64" spans="3:20">
      <c r="C64" t="s">
        <v>162</v>
      </c>
      <c r="D64" s="4">
        <f t="shared" si="6"/>
        <v>5</v>
      </c>
      <c r="E64" t="s">
        <v>199</v>
      </c>
      <c r="F64" t="str">
        <f>$M$12</f>
        <v>５</v>
      </c>
      <c r="G64" t="s">
        <v>472</v>
      </c>
      <c r="H64">
        <f>MAX(冒険者職業レベル!$E$5,冒険者職業レベル!$E$6)</f>
        <v>0</v>
      </c>
      <c r="I64" t="s">
        <v>162</v>
      </c>
      <c r="J64">
        <f>IF(I64="",0,VLOOKUP(I64,冒険者技能!$C$3:$K$67,9,FALSE))</f>
        <v>0</v>
      </c>
      <c r="L64">
        <f>IF(K64="",0,VLOOKUP(K64,一般技能!$B$3:$I$47,8,FALSE))</f>
        <v>0</v>
      </c>
      <c r="P64">
        <f>装備!$AZ$1</f>
        <v>0</v>
      </c>
    </row>
    <row r="66" spans="3:16">
      <c r="C66" t="s">
        <v>168</v>
      </c>
      <c r="D66" s="4">
        <f t="shared" ref="D66:D69" si="7">F66+H66+J66+L66+N66+P66+R66+T66</f>
        <v>9</v>
      </c>
      <c r="E66" t="s">
        <v>191</v>
      </c>
      <c r="F66" t="str">
        <f>$J$11</f>
        <v>７</v>
      </c>
      <c r="G66" t="s">
        <v>466</v>
      </c>
      <c r="H66" s="4">
        <f>冒険者職業レベル!$D$19</f>
        <v>1</v>
      </c>
      <c r="J66">
        <f>IF(I66="",0,VLOOKUP(I66,冒険者技能!$C$3:$K$67,9,FALSE))</f>
        <v>0</v>
      </c>
      <c r="K66" t="s">
        <v>168</v>
      </c>
      <c r="L66">
        <f>IF(K66="",0,VLOOKUP(K66,一般技能!$B$3:$I$47,8,FALSE))</f>
        <v>1</v>
      </c>
    </row>
    <row r="67" spans="3:16">
      <c r="C67" t="s">
        <v>173</v>
      </c>
      <c r="D67" s="4">
        <f t="shared" si="7"/>
        <v>6</v>
      </c>
      <c r="E67" t="s">
        <v>198</v>
      </c>
      <c r="F67" t="str">
        <f>$L$12</f>
        <v>５</v>
      </c>
      <c r="G67" t="s">
        <v>466</v>
      </c>
      <c r="H67" s="4">
        <f>冒険者職業レベル!$D$19</f>
        <v>1</v>
      </c>
      <c r="I67" t="s">
        <v>471</v>
      </c>
      <c r="J67">
        <f>IF(I67="",0,VLOOKUP(I67,冒険者技能!$C$3:$K$67,9,FALSE))</f>
        <v>0</v>
      </c>
      <c r="L67">
        <f>IF(K67="",0,VLOOKUP(K67,一般技能!$B$3:$I$47,8,FALSE))</f>
        <v>0</v>
      </c>
      <c r="P67">
        <f>装備!$BA$1</f>
        <v>0</v>
      </c>
    </row>
    <row r="68" spans="3:16">
      <c r="C68" t="s">
        <v>178</v>
      </c>
      <c r="D68" s="4">
        <f t="shared" si="7"/>
        <v>7</v>
      </c>
      <c r="E68" t="s">
        <v>194</v>
      </c>
      <c r="F68" t="str">
        <f>$M$11</f>
        <v>７</v>
      </c>
      <c r="G68" t="s">
        <v>479</v>
      </c>
      <c r="H68">
        <f>冒険者職業レベル!$E$5</f>
        <v>0</v>
      </c>
      <c r="J68">
        <f>IF(I68="",0,VLOOKUP(I68,冒険者技能!$C$3:$K$67,9,FALSE))</f>
        <v>0</v>
      </c>
      <c r="K68" t="s">
        <v>480</v>
      </c>
      <c r="L68">
        <f>IF(K68="",0,VLOOKUP(K68,一般技能!$B$3:$I$47,8,FALSE))</f>
        <v>0</v>
      </c>
    </row>
    <row r="69" spans="3:16">
      <c r="C69" t="s">
        <v>183</v>
      </c>
      <c r="D69" s="4">
        <f t="shared" si="7"/>
        <v>7</v>
      </c>
      <c r="E69" t="s">
        <v>194</v>
      </c>
      <c r="F69" t="str">
        <f>$M$11</f>
        <v>７</v>
      </c>
      <c r="G69" t="s">
        <v>479</v>
      </c>
      <c r="H69">
        <f>冒険者職業レベル!$E$5</f>
        <v>0</v>
      </c>
      <c r="J69">
        <f>IF(I69="",0,VLOOKUP(I69,冒険者技能!$C$3:$K$67,9,FALSE))</f>
        <v>0</v>
      </c>
      <c r="K69" t="s">
        <v>480</v>
      </c>
      <c r="L69">
        <f>IF(K69="",0,VLOOKUP(K69,一般技能!$B$3:$I$47,8,FALSE))</f>
        <v>0</v>
      </c>
    </row>
    <row r="71" spans="3:16">
      <c r="C71" t="s">
        <v>481</v>
      </c>
      <c r="D71" s="4">
        <f t="shared" ref="D71:D74" si="8">F71+H71+J71+L71+N71+P71+R71+T71</f>
        <v>8</v>
      </c>
      <c r="E71" t="s">
        <v>187</v>
      </c>
      <c r="F71" t="str">
        <f>$K$10</f>
        <v>４</v>
      </c>
      <c r="G71" t="s">
        <v>469</v>
      </c>
      <c r="H71">
        <f>MAX(冒険者職業レベル!$E$3,冒険者職業レベル!$E$4)</f>
        <v>3</v>
      </c>
      <c r="I71" t="s">
        <v>482</v>
      </c>
      <c r="J71">
        <f>IF(I71="",0,VLOOKUP(I71,冒険者技能!$C$3:$K$67,9,FALSE))</f>
        <v>1</v>
      </c>
      <c r="L71">
        <f>IF(K71="",0,VLOOKUP(K71,一般技能!$B$3:$I$47,8,FALSE))</f>
        <v>0</v>
      </c>
    </row>
    <row r="72" spans="3:16">
      <c r="C72" t="s">
        <v>255</v>
      </c>
      <c r="D72" s="4">
        <f t="shared" si="8"/>
        <v>8</v>
      </c>
      <c r="E72" t="s">
        <v>196</v>
      </c>
      <c r="F72" t="str">
        <f>$J$12</f>
        <v>５</v>
      </c>
      <c r="G72" t="s">
        <v>483</v>
      </c>
      <c r="H72">
        <f>冒険者職業レベル!$E$3</f>
        <v>3</v>
      </c>
      <c r="I72" t="s">
        <v>484</v>
      </c>
      <c r="J72">
        <f>IF(I72="",0,VLOOKUP(I72,冒険者技能!$C$3:$K$67,9,FALSE))</f>
        <v>0</v>
      </c>
      <c r="L72">
        <f>IF(K72="",0,VLOOKUP(K72,一般技能!$B$3:$I$47,8,FALSE))</f>
        <v>0</v>
      </c>
    </row>
    <row r="73" spans="3:16">
      <c r="C73" t="s">
        <v>256</v>
      </c>
      <c r="D73" s="4">
        <f t="shared" si="8"/>
        <v>8</v>
      </c>
      <c r="E73" t="s">
        <v>485</v>
      </c>
      <c r="F73">
        <f>MAX(INT($J$10),INT($L$10))</f>
        <v>5</v>
      </c>
      <c r="G73" t="s">
        <v>486</v>
      </c>
      <c r="H73">
        <f>MAX(冒険者職業レベル!$E$3,冒険者職業レベル!$E$4,冒険者職業レベル!$E$5)</f>
        <v>3</v>
      </c>
      <c r="J73">
        <f>IF(I73="",0,VLOOKUP(I73,冒険者技能!$C$3:$K$67,9,FALSE))</f>
        <v>0</v>
      </c>
      <c r="L73">
        <f>IF(K73="",0,VLOOKUP(K73,一般技能!$B$3:$I$47,8,FALSE))</f>
        <v>0</v>
      </c>
    </row>
    <row r="74" spans="3:16">
      <c r="C74" t="s">
        <v>257</v>
      </c>
      <c r="D74" s="4">
        <f t="shared" si="8"/>
        <v>0</v>
      </c>
      <c r="I74" t="s">
        <v>257</v>
      </c>
      <c r="J74">
        <f>IF(I74="",0,VLOOKUP(I74,冒険者技能!$C$3:$K$67,9,FALSE))</f>
        <v>0</v>
      </c>
      <c r="L74">
        <f>IF(K74="",0,VLOOKUP(K74,一般技能!$B$3:$I$47,8,FALSE))</f>
        <v>0</v>
      </c>
    </row>
    <row r="76" spans="3:16">
      <c r="C76" t="s">
        <v>202</v>
      </c>
      <c r="D76" s="4">
        <f t="shared" ref="D76:D79" si="9">F76+H76+J76+L76+N76+P76+R76+T76</f>
        <v>5</v>
      </c>
      <c r="E76" t="s">
        <v>189</v>
      </c>
      <c r="F76" t="str">
        <f>$M$10</f>
        <v>５</v>
      </c>
      <c r="J76">
        <f>IF(I76="",0,VLOOKUP(I76,冒険者技能!$C$3:$K$67,9,FALSE))</f>
        <v>0</v>
      </c>
      <c r="K76" t="s">
        <v>202</v>
      </c>
      <c r="L76">
        <f>IF(K76="",0,VLOOKUP(K76,一般技能!$B$3:$I$47,8,FALSE))</f>
        <v>0</v>
      </c>
    </row>
    <row r="77" spans="3:16">
      <c r="C77" t="s">
        <v>205</v>
      </c>
      <c r="D77" s="4">
        <f t="shared" si="9"/>
        <v>4</v>
      </c>
      <c r="E77" t="s">
        <v>187</v>
      </c>
      <c r="F77" t="str">
        <f>$K$10</f>
        <v>４</v>
      </c>
      <c r="J77">
        <f>IF(I77="",0,VLOOKUP(I77,冒険者技能!$C$3:$K$67,9,FALSE))</f>
        <v>0</v>
      </c>
      <c r="K77" t="s">
        <v>205</v>
      </c>
      <c r="L77">
        <f>IF(K77="",0,VLOOKUP(K77,一般技能!$B$3:$I$47,8,FALSE))</f>
        <v>0</v>
      </c>
      <c r="N77">
        <f>装備!AU13</f>
        <v>0</v>
      </c>
    </row>
    <row r="78" spans="3:16">
      <c r="C78" t="s">
        <v>208</v>
      </c>
      <c r="D78" s="4">
        <f t="shared" si="9"/>
        <v>7</v>
      </c>
      <c r="E78" t="s">
        <v>191</v>
      </c>
      <c r="F78" t="str">
        <f>$J$11</f>
        <v>７</v>
      </c>
      <c r="J78">
        <f>IF(I78="",0,VLOOKUP(I78,冒険者技能!$C$3:$K$67,9,FALSE))</f>
        <v>0</v>
      </c>
      <c r="K78" t="s">
        <v>208</v>
      </c>
      <c r="L78">
        <f>IF(K78="",0,VLOOKUP(K78,一般技能!$B$3:$I$47,8,FALSE))</f>
        <v>0</v>
      </c>
    </row>
    <row r="79" spans="3:16">
      <c r="C79" t="s">
        <v>211</v>
      </c>
      <c r="D79" s="4">
        <f t="shared" si="9"/>
        <v>5</v>
      </c>
      <c r="E79" t="s">
        <v>198</v>
      </c>
      <c r="F79" t="str">
        <f>$L$12</f>
        <v>５</v>
      </c>
      <c r="J79">
        <f>IF(I79="",0,VLOOKUP(I79,冒険者技能!$C$3:$K$67,9,FALSE))</f>
        <v>0</v>
      </c>
      <c r="K79" t="s">
        <v>211</v>
      </c>
      <c r="L79">
        <f>IF(K79="",0,VLOOKUP(K79,一般技能!$B$3:$I$47,8,FALSE))</f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ラベル!$X$2:$X$3</xm:f>
          </x14:formula1>
          <xm:sqref>F4:F7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H134"/>
  <sheetViews>
    <sheetView workbookViewId="0">
      <selection activeCell="D135" sqref="D135"/>
    </sheetView>
  </sheetViews>
  <sheetFormatPr defaultRowHeight="13"/>
  <cols>
    <col min="3" max="3" width="20" bestFit="1" customWidth="1"/>
    <col min="4" max="4" width="17.36328125" bestFit="1" customWidth="1"/>
  </cols>
  <sheetData>
    <row r="2" spans="2:6">
      <c r="B2" t="s">
        <v>487</v>
      </c>
    </row>
    <row r="3" spans="2:6">
      <c r="C3" t="s">
        <v>36</v>
      </c>
      <c r="D3" t="str">
        <f>作成シート!C30</f>
        <v>状態／2D6(3回目)</v>
      </c>
      <c r="E3">
        <f>VLOOKUP(D3,プロフィール!$B$16:$E$18,VLOOKUP(プロフィール!$C$19,固定値!$N$1:$O$3,2,FALSE),FALSE)</f>
        <v>9</v>
      </c>
    </row>
    <row r="4" spans="2:6">
      <c r="C4" t="s">
        <v>37</v>
      </c>
      <c r="D4" t="str">
        <f>作成シート!C31</f>
        <v>状態／2D6(2回目)</v>
      </c>
      <c r="E4">
        <f>VLOOKUP(D4,プロフィール!$B$16:$E$18,VLOOKUP(プロフィール!$C$19,固定値!$N$1:$O$3,2,FALSE),FALSE)</f>
        <v>7</v>
      </c>
    </row>
    <row r="5" spans="2:6">
      <c r="C5" t="s">
        <v>38</v>
      </c>
      <c r="D5" t="str">
        <f>作成シート!C32</f>
        <v>状態／2D6(1回目)</v>
      </c>
      <c r="E5">
        <f>VLOOKUP(D5,プロフィール!$B$16:$E$18,VLOOKUP(プロフィール!$C$19,固定値!$N$1:$O$3,2,FALSE),FALSE)</f>
        <v>5</v>
      </c>
    </row>
    <row r="7" spans="2:6">
      <c r="B7" t="s">
        <v>488</v>
      </c>
    </row>
    <row r="8" spans="2:6">
      <c r="C8" t="s">
        <v>489</v>
      </c>
      <c r="D8">
        <f>VLOOKUP(C8,固定値!$D$1:$I$9,VLOOKUP(プロフィール!$C$3,固定値!$K$1:$L$6,2,FALSE),FALSE)</f>
        <v>3</v>
      </c>
    </row>
    <row r="10" spans="2:6">
      <c r="B10" t="s">
        <v>490</v>
      </c>
      <c r="D10" t="s">
        <v>491</v>
      </c>
      <c r="E10" t="s">
        <v>492</v>
      </c>
      <c r="F10" t="s">
        <v>445</v>
      </c>
    </row>
    <row r="11" spans="2:6">
      <c r="C11" t="s">
        <v>493</v>
      </c>
      <c r="D11">
        <f>能力値!G4+能力値!G5+能力値!G11+E3</f>
        <v>18</v>
      </c>
      <c r="E11">
        <f>VLOOKUP(冒険者技能!I6,固定値!$AT$2:$AU$7,2,FALSE)</f>
        <v>5</v>
      </c>
      <c r="F11">
        <f>D11+E11</f>
        <v>23</v>
      </c>
    </row>
    <row r="12" spans="2:6">
      <c r="C12" t="s">
        <v>494</v>
      </c>
      <c r="D12">
        <f>D8*E4</f>
        <v>21</v>
      </c>
      <c r="E12">
        <f>VLOOKUP(一般技能!G37,固定値!$DW$2:$DX$5,2,FALSE)</f>
        <v>0</v>
      </c>
      <c r="F12">
        <f>D12+E12</f>
        <v>21</v>
      </c>
    </row>
    <row r="13" spans="2:6">
      <c r="C13" t="s">
        <v>495</v>
      </c>
      <c r="D13">
        <f>VLOOKUP($E$5,固定値!$Q$2:$R$12,2,FALSE)</f>
        <v>0</v>
      </c>
      <c r="E13">
        <f>VLOOKUP(冒険者技能!I67,固定値!$AX$2:$AY$7,2,FALSE)</f>
        <v>0</v>
      </c>
      <c r="F13">
        <f>D13+E13</f>
        <v>0</v>
      </c>
    </row>
    <row r="14" spans="2:6">
      <c r="C14" t="s">
        <v>496</v>
      </c>
      <c r="F14">
        <f>F11*2</f>
        <v>46</v>
      </c>
    </row>
    <row r="16" spans="2:6">
      <c r="C16" t="s">
        <v>497</v>
      </c>
      <c r="D16" s="4">
        <f>能力値!K12+冒険者職業レベル!D19+冒険者技能!K10</f>
        <v>5</v>
      </c>
    </row>
    <row r="17" spans="3:6">
      <c r="C17" t="s">
        <v>498</v>
      </c>
      <c r="D17">
        <f>E17+F17</f>
        <v>5</v>
      </c>
      <c r="E17" t="str">
        <f>能力値!M10</f>
        <v>５</v>
      </c>
      <c r="F17">
        <f>冒険者職業レベル!E7</f>
        <v>0</v>
      </c>
    </row>
    <row r="18" spans="3:6">
      <c r="C18" t="s">
        <v>499</v>
      </c>
      <c r="D18">
        <f>E18+F18</f>
        <v>4</v>
      </c>
      <c r="E18" t="str">
        <f>能力値!K10</f>
        <v>４</v>
      </c>
      <c r="F18">
        <f>冒険者職業レベル!E8</f>
        <v>0</v>
      </c>
    </row>
    <row r="19" spans="3:6">
      <c r="C19" t="s">
        <v>500</v>
      </c>
      <c r="D19">
        <f>E19+F19</f>
        <v>4</v>
      </c>
      <c r="E19" t="str">
        <f>能力値!K10</f>
        <v>４</v>
      </c>
      <c r="F19">
        <f>冒険者職業レベル!E9</f>
        <v>0</v>
      </c>
    </row>
    <row r="20" spans="3:6">
      <c r="C20" t="s">
        <v>501</v>
      </c>
      <c r="D20">
        <f>E20+F20</f>
        <v>4</v>
      </c>
      <c r="E20" t="str">
        <f>能力値!K10</f>
        <v>４</v>
      </c>
      <c r="F20">
        <f>冒険者職業レベル!E10</f>
        <v>0</v>
      </c>
    </row>
    <row r="21" spans="3:6">
      <c r="C21" t="s">
        <v>502</v>
      </c>
      <c r="D21">
        <f>MAX(D17:D20)</f>
        <v>5</v>
      </c>
    </row>
    <row r="23" spans="3:6">
      <c r="C23" t="s">
        <v>503</v>
      </c>
      <c r="D23">
        <f>E23+F23</f>
        <v>8</v>
      </c>
      <c r="E23" t="str">
        <f>能力値!$L$10</f>
        <v>５</v>
      </c>
      <c r="F23">
        <f>冒険者職業レベル!E3</f>
        <v>3</v>
      </c>
    </row>
    <row r="24" spans="3:6">
      <c r="C24" t="s">
        <v>504</v>
      </c>
      <c r="D24">
        <f>E24+F24</f>
        <v>5</v>
      </c>
      <c r="E24" t="str">
        <f>能力値!$L$10</f>
        <v>５</v>
      </c>
      <c r="F24">
        <f>冒険者職業レベル!E4</f>
        <v>0</v>
      </c>
    </row>
    <row r="25" spans="3:6">
      <c r="C25" t="s">
        <v>505</v>
      </c>
      <c r="D25">
        <f>E25+F25</f>
        <v>5</v>
      </c>
      <c r="E25" t="str">
        <f>能力値!$L$10</f>
        <v>５</v>
      </c>
      <c r="F25">
        <f>冒険者職業レベル!E5</f>
        <v>0</v>
      </c>
    </row>
    <row r="26" spans="3:6">
      <c r="C26" t="s">
        <v>506</v>
      </c>
      <c r="D26">
        <f>E26+F26</f>
        <v>5</v>
      </c>
      <c r="E26" t="str">
        <f>能力値!$L$10</f>
        <v>５</v>
      </c>
      <c r="F26">
        <f>冒険者職業レベル!E6</f>
        <v>0</v>
      </c>
    </row>
    <row r="28" spans="3:6">
      <c r="C28" t="s">
        <v>507</v>
      </c>
      <c r="D28">
        <f>E28+F28</f>
        <v>8</v>
      </c>
      <c r="E28">
        <f>MAX(D23,D24,D26)</f>
        <v>8</v>
      </c>
      <c r="F28">
        <f>MAX(冒険者技能!J37:J42)</f>
        <v>0</v>
      </c>
    </row>
    <row r="29" spans="3:6">
      <c r="C29" t="s">
        <v>508</v>
      </c>
      <c r="D29">
        <f>E29+F29</f>
        <v>6</v>
      </c>
      <c r="E29">
        <f>MAX(D25,D26)</f>
        <v>5</v>
      </c>
      <c r="F29">
        <f>冒険者技能!K44</f>
        <v>1</v>
      </c>
    </row>
    <row r="30" spans="3:6">
      <c r="C30" t="s">
        <v>509</v>
      </c>
      <c r="D30">
        <f>E30+F30</f>
        <v>5</v>
      </c>
      <c r="E30">
        <f>D26</f>
        <v>5</v>
      </c>
      <c r="F30">
        <f>冒険者技能!K45</f>
        <v>0</v>
      </c>
    </row>
    <row r="32" spans="3:6">
      <c r="C32" t="s">
        <v>510</v>
      </c>
      <c r="D32">
        <f>E32+F32</f>
        <v>5</v>
      </c>
      <c r="E32" t="str">
        <f>能力値!L12</f>
        <v>５</v>
      </c>
      <c r="F32">
        <f>冒険者技能!K29</f>
        <v>0</v>
      </c>
    </row>
    <row r="34" spans="3:8">
      <c r="C34" t="s">
        <v>511</v>
      </c>
      <c r="D34">
        <f t="shared" ref="D34:D36" si="0">E34+F34</f>
        <v>8</v>
      </c>
      <c r="E34">
        <f>D32</f>
        <v>5</v>
      </c>
      <c r="F34">
        <f>冒険者職業レベル!E3</f>
        <v>3</v>
      </c>
    </row>
    <row r="35" spans="3:8">
      <c r="C35" t="s">
        <v>512</v>
      </c>
      <c r="D35">
        <f t="shared" si="0"/>
        <v>5</v>
      </c>
      <c r="E35">
        <f>D32</f>
        <v>5</v>
      </c>
      <c r="F35">
        <f>冒険者職業レベル!E4</f>
        <v>0</v>
      </c>
    </row>
    <row r="36" spans="3:8">
      <c r="C36" t="s">
        <v>513</v>
      </c>
      <c r="D36">
        <f t="shared" si="0"/>
        <v>5</v>
      </c>
      <c r="E36">
        <f>D32</f>
        <v>5</v>
      </c>
      <c r="F36">
        <f>冒険者職業レベル!E6</f>
        <v>0</v>
      </c>
    </row>
    <row r="38" spans="3:8">
      <c r="C38" t="s">
        <v>514</v>
      </c>
      <c r="D38">
        <f>MAX(D34:D36)</f>
        <v>8</v>
      </c>
    </row>
    <row r="40" spans="3:8">
      <c r="C40" t="s">
        <v>515</v>
      </c>
      <c r="D40">
        <f>E40+F40+G40</f>
        <v>8</v>
      </c>
      <c r="E40" t="str">
        <f>能力値!$L$12</f>
        <v>５</v>
      </c>
      <c r="F40">
        <f>冒険者職業レベル!E3</f>
        <v>3</v>
      </c>
      <c r="G40">
        <f>冒険者技能!K30</f>
        <v>0</v>
      </c>
    </row>
    <row r="41" spans="3:8">
      <c r="C41" t="s">
        <v>516</v>
      </c>
      <c r="D41">
        <f>E41+F41+G41</f>
        <v>5</v>
      </c>
      <c r="E41" t="str">
        <f>能力値!$L$12</f>
        <v>５</v>
      </c>
      <c r="F41">
        <f>冒険者職業レベル!E6</f>
        <v>0</v>
      </c>
      <c r="G41">
        <f>冒険者技能!K30</f>
        <v>0</v>
      </c>
    </row>
    <row r="43" spans="3:8">
      <c r="C43" t="s">
        <v>517</v>
      </c>
      <c r="D43">
        <f>MAX(D41,D40)</f>
        <v>8</v>
      </c>
    </row>
    <row r="45" spans="3:8">
      <c r="D45" t="s">
        <v>2181</v>
      </c>
      <c r="E45" t="s">
        <v>2184</v>
      </c>
      <c r="F45" t="s">
        <v>2182</v>
      </c>
      <c r="G45" t="s">
        <v>2183</v>
      </c>
      <c r="H45" t="s">
        <v>2195</v>
      </c>
    </row>
    <row r="46" spans="3:8">
      <c r="C46" t="s">
        <v>2192</v>
      </c>
      <c r="D46" t="s">
        <v>2185</v>
      </c>
      <c r="E46">
        <v>160</v>
      </c>
      <c r="F46">
        <f>ROUNDUP(E46*戦闘現在値!$L$27,0)</f>
        <v>3360</v>
      </c>
      <c r="G46">
        <f>ROUNDUP(H46*戦闘現在値!$L$27,0)</f>
        <v>630</v>
      </c>
      <c r="H46">
        <f t="shared" ref="H46:H52" si="1">ROUNDUP(E46/60,0)*10</f>
        <v>30</v>
      </c>
    </row>
    <row r="47" spans="3:8">
      <c r="D47" t="s">
        <v>2186</v>
      </c>
      <c r="E47">
        <v>200</v>
      </c>
      <c r="F47">
        <f>ROUNDUP(E47*戦闘現在値!$L$27,0)</f>
        <v>4200</v>
      </c>
      <c r="G47">
        <f>ROUNDUP(H47*戦闘現在値!$L$27,0)</f>
        <v>840</v>
      </c>
      <c r="H47">
        <f t="shared" si="1"/>
        <v>40</v>
      </c>
    </row>
    <row r="48" spans="3:8">
      <c r="D48" t="s">
        <v>2187</v>
      </c>
      <c r="E48">
        <v>240</v>
      </c>
      <c r="F48">
        <f>ROUNDUP(E48*戦闘現在値!$L$27,0)</f>
        <v>5040</v>
      </c>
      <c r="G48">
        <f>ROUNDUP(H48*戦闘現在値!$L$27,0)</f>
        <v>840</v>
      </c>
      <c r="H48">
        <f t="shared" si="1"/>
        <v>40</v>
      </c>
    </row>
    <row r="49" spans="2:8">
      <c r="D49" t="s">
        <v>2188</v>
      </c>
      <c r="E49">
        <v>280</v>
      </c>
      <c r="F49">
        <f>ROUNDUP(E49*戦闘現在値!$L$27,0)</f>
        <v>5880</v>
      </c>
      <c r="G49">
        <f>ROUNDUP(H49*戦闘現在値!$L$27,0)</f>
        <v>1050</v>
      </c>
      <c r="H49">
        <f t="shared" si="1"/>
        <v>50</v>
      </c>
    </row>
    <row r="50" spans="2:8">
      <c r="D50" t="s">
        <v>2189</v>
      </c>
      <c r="E50">
        <v>320</v>
      </c>
      <c r="F50">
        <f>ROUNDUP(E50*戦闘現在値!$L$27,0)</f>
        <v>6720</v>
      </c>
      <c r="G50">
        <f>ROUNDUP(H50*戦闘現在値!$L$27,0)</f>
        <v>1260</v>
      </c>
      <c r="H50">
        <f t="shared" si="1"/>
        <v>60</v>
      </c>
    </row>
    <row r="51" spans="2:8">
      <c r="D51" t="s">
        <v>2190</v>
      </c>
      <c r="E51">
        <v>350</v>
      </c>
      <c r="F51">
        <f>ROUNDUP(E51*戦闘現在値!$L$27,0)</f>
        <v>7350</v>
      </c>
      <c r="G51">
        <f>ROUNDUP(H51*戦闘現在値!$L$27,0)</f>
        <v>1260</v>
      </c>
      <c r="H51">
        <f t="shared" si="1"/>
        <v>60</v>
      </c>
    </row>
    <row r="52" spans="2:8">
      <c r="D52" t="s">
        <v>2191</v>
      </c>
      <c r="E52">
        <v>400</v>
      </c>
      <c r="F52">
        <f>ROUNDUP(E52*戦闘現在値!$L$27,0)</f>
        <v>8400</v>
      </c>
      <c r="G52">
        <f>ROUNDUP(H52*戦闘現在値!$L$27,0)</f>
        <v>1470</v>
      </c>
      <c r="H52">
        <f t="shared" si="1"/>
        <v>70</v>
      </c>
    </row>
    <row r="53" spans="2:8">
      <c r="D53" t="str">
        <f t="shared" ref="D53:D59" si="2">D46&amp;"："&amp;F46&amp;"／"&amp;G46&amp;"　"</f>
        <v>～９：3360／630　</v>
      </c>
    </row>
    <row r="54" spans="2:8">
      <c r="D54" t="str">
        <f t="shared" si="2"/>
        <v>１０～１４：4200／840　</v>
      </c>
    </row>
    <row r="55" spans="2:8">
      <c r="D55" t="str">
        <f t="shared" si="2"/>
        <v>１５～１９：5040／840　</v>
      </c>
    </row>
    <row r="56" spans="2:8">
      <c r="D56" t="str">
        <f t="shared" si="2"/>
        <v>２０～２４：5880／1050　</v>
      </c>
    </row>
    <row r="57" spans="2:8">
      <c r="D57" t="str">
        <f t="shared" si="2"/>
        <v>２５～３０：6720／1260　</v>
      </c>
    </row>
    <row r="58" spans="2:8">
      <c r="D58" t="str">
        <f t="shared" si="2"/>
        <v>３０～３９：7350／1260　</v>
      </c>
    </row>
    <row r="59" spans="2:8">
      <c r="D59" t="str">
        <f t="shared" si="2"/>
        <v>４０～：8400／1470　</v>
      </c>
    </row>
    <row r="60" spans="2:8">
      <c r="D60" t="str">
        <f>C46&amp;"距離（１時間／10分） 効力値："&amp;D53&amp;D54&amp;D55&amp;D56&amp;D57</f>
        <v>街道移動距離（１時間／10分） 効力値：～９：3360／630　１０～１４：4200／840　１５～１９：5040／840　２０～２４：5880／1050　２５～３０：6720／1260　</v>
      </c>
    </row>
    <row r="61" spans="2:8">
      <c r="D61" t="str">
        <f>"                             "&amp;D57&amp;D58&amp;D59</f>
        <v xml:space="preserve">                             ２５～３０：6720／1260　３０～３９：7350／1260　４０～：8400／1470　</v>
      </c>
    </row>
    <row r="63" spans="2:8">
      <c r="D63" t="s">
        <v>2181</v>
      </c>
      <c r="E63" t="s">
        <v>2184</v>
      </c>
      <c r="F63" t="s">
        <v>2182</v>
      </c>
      <c r="G63" t="s">
        <v>2183</v>
      </c>
      <c r="H63" t="s">
        <v>2195</v>
      </c>
    </row>
    <row r="64" spans="2:8">
      <c r="B64">
        <v>3</v>
      </c>
      <c r="C64" t="s">
        <v>2193</v>
      </c>
      <c r="D64" t="s">
        <v>2185</v>
      </c>
      <c r="E64">
        <f t="shared" ref="E64:E70" si="3">ROUNDUP(E46/($B$64*10),0)*10</f>
        <v>60</v>
      </c>
      <c r="F64">
        <f>ROUNDUP(E64*戦闘現在値!$L$27,0)</f>
        <v>1260</v>
      </c>
      <c r="G64">
        <f>ROUNDUP(H64*戦闘現在値!$L$27,0)</f>
        <v>210</v>
      </c>
      <c r="H64">
        <f>ROUNDUP(E46/($B$64*6*10),0)*10</f>
        <v>10</v>
      </c>
    </row>
    <row r="65" spans="4:8">
      <c r="D65" t="s">
        <v>2186</v>
      </c>
      <c r="E65">
        <f t="shared" si="3"/>
        <v>70</v>
      </c>
      <c r="F65">
        <f>ROUNDUP(E65*戦闘現在値!$L$27,0)</f>
        <v>1470</v>
      </c>
      <c r="G65">
        <f>ROUNDUP(H65*戦闘現在値!$L$27,0)</f>
        <v>420</v>
      </c>
      <c r="H65">
        <f t="shared" ref="H65:H70" si="4">ROUNDUP(E47/($B$64*6*10),0)*10</f>
        <v>20</v>
      </c>
    </row>
    <row r="66" spans="4:8">
      <c r="D66" t="s">
        <v>2187</v>
      </c>
      <c r="E66">
        <f t="shared" si="3"/>
        <v>80</v>
      </c>
      <c r="F66">
        <f>ROUNDUP(E66*戦闘現在値!$L$27,0)</f>
        <v>1680</v>
      </c>
      <c r="G66">
        <f>ROUNDUP(H66*戦闘現在値!$L$27,0)</f>
        <v>420</v>
      </c>
      <c r="H66">
        <f t="shared" si="4"/>
        <v>20</v>
      </c>
    </row>
    <row r="67" spans="4:8">
      <c r="D67" t="s">
        <v>2188</v>
      </c>
      <c r="E67">
        <f t="shared" si="3"/>
        <v>100</v>
      </c>
      <c r="F67">
        <f>ROUNDUP(E67*戦闘現在値!$L$27,0)</f>
        <v>2100</v>
      </c>
      <c r="G67">
        <f>ROUNDUP(H67*戦闘現在値!$L$27,0)</f>
        <v>420</v>
      </c>
      <c r="H67">
        <f t="shared" si="4"/>
        <v>20</v>
      </c>
    </row>
    <row r="68" spans="4:8">
      <c r="D68" t="s">
        <v>2189</v>
      </c>
      <c r="E68">
        <f t="shared" si="3"/>
        <v>110</v>
      </c>
      <c r="F68">
        <f>ROUNDUP(E68*戦闘現在値!$L$27,0)</f>
        <v>2310</v>
      </c>
      <c r="G68">
        <f>ROUNDUP(H68*戦闘現在値!$L$27,0)</f>
        <v>420</v>
      </c>
      <c r="H68">
        <f t="shared" si="4"/>
        <v>20</v>
      </c>
    </row>
    <row r="69" spans="4:8">
      <c r="D69" t="s">
        <v>2190</v>
      </c>
      <c r="E69">
        <f t="shared" si="3"/>
        <v>120</v>
      </c>
      <c r="F69">
        <f>ROUNDUP(E69*戦闘現在値!$L$27,0)</f>
        <v>2520</v>
      </c>
      <c r="G69">
        <f>ROUNDUP(H69*戦闘現在値!$L$27,0)</f>
        <v>420</v>
      </c>
      <c r="H69">
        <f t="shared" si="4"/>
        <v>20</v>
      </c>
    </row>
    <row r="70" spans="4:8">
      <c r="D70" t="s">
        <v>2191</v>
      </c>
      <c r="E70">
        <f t="shared" si="3"/>
        <v>140</v>
      </c>
      <c r="F70">
        <f>ROUNDUP(E70*戦闘現在値!$L$27,0)</f>
        <v>2940</v>
      </c>
      <c r="G70">
        <f>ROUNDUP(H70*戦闘現在値!$L$27,0)</f>
        <v>630</v>
      </c>
      <c r="H70">
        <f t="shared" si="4"/>
        <v>30</v>
      </c>
    </row>
    <row r="71" spans="4:8">
      <c r="D71" t="str">
        <f t="shared" ref="D71:D77" si="5">D64&amp;"："&amp;F64&amp;"／"&amp;G64&amp;"　"</f>
        <v>～９：1260／210　</v>
      </c>
    </row>
    <row r="72" spans="4:8">
      <c r="D72" t="str">
        <f t="shared" si="5"/>
        <v>１０～１４：1470／420　</v>
      </c>
    </row>
    <row r="73" spans="4:8">
      <c r="D73" t="str">
        <f t="shared" si="5"/>
        <v>１５～１９：1680／420　</v>
      </c>
    </row>
    <row r="74" spans="4:8">
      <c r="D74" t="str">
        <f t="shared" si="5"/>
        <v>２０～２４：2100／420　</v>
      </c>
    </row>
    <row r="75" spans="4:8">
      <c r="D75" t="str">
        <f t="shared" si="5"/>
        <v>２５～３０：2310／420　</v>
      </c>
    </row>
    <row r="76" spans="4:8">
      <c r="D76" t="str">
        <f t="shared" si="5"/>
        <v>３０～３９：2520／420　</v>
      </c>
    </row>
    <row r="77" spans="4:8">
      <c r="D77" t="str">
        <f t="shared" si="5"/>
        <v>４０～：2940／630　</v>
      </c>
    </row>
    <row r="78" spans="4:8">
      <c r="D78" t="str">
        <f>C64&amp;"距離（１時間／10分） 効力値："&amp;D71&amp;D72&amp;D73&amp;D74&amp;D75</f>
        <v>荒野移動距離（１時間／10分） 効力値：～９：1260／210　１０～１４：1470／420　１５～１９：1680／420　２０～２４：2100／420　２５～３０：2310／420　</v>
      </c>
    </row>
    <row r="79" spans="4:8">
      <c r="D79" t="str">
        <f>"                             "&amp;D75&amp;D76&amp;D77</f>
        <v xml:space="preserve">                             ２５～３０：2310／420　３０～３９：2520／420　４０～：2940／630　</v>
      </c>
    </row>
    <row r="81" spans="2:8">
      <c r="D81" t="s">
        <v>2181</v>
      </c>
      <c r="E81" t="s">
        <v>2184</v>
      </c>
      <c r="F81" t="s">
        <v>2182</v>
      </c>
      <c r="G81" t="s">
        <v>2183</v>
      </c>
      <c r="H81" t="s">
        <v>2195</v>
      </c>
    </row>
    <row r="82" spans="2:8">
      <c r="B82">
        <v>3</v>
      </c>
      <c r="C82" t="s">
        <v>2194</v>
      </c>
      <c r="D82" t="s">
        <v>2185</v>
      </c>
      <c r="E82">
        <f>ROUNDUP(E46/(B$64*$B$82*10),0)*10</f>
        <v>20</v>
      </c>
      <c r="F82">
        <f>ROUNDUP(E82*戦闘現在値!$L$27,0)</f>
        <v>420</v>
      </c>
      <c r="G82">
        <f>ROUNDUP(H82*戦闘現在値!$L$27,0)</f>
        <v>63</v>
      </c>
      <c r="H82">
        <f>ROUNDUP(E46/($B$82*$B$64*6),0)</f>
        <v>3</v>
      </c>
    </row>
    <row r="83" spans="2:8">
      <c r="D83" t="s">
        <v>2186</v>
      </c>
      <c r="E83">
        <f t="shared" ref="E83:E88" si="6">ROUNDUP(E47/(B$64*$B$82*10),0)*10</f>
        <v>30</v>
      </c>
      <c r="F83">
        <f>ROUNDUP(E83*戦闘現在値!$L$27,0)</f>
        <v>630</v>
      </c>
      <c r="G83">
        <f>ROUNDUP(H83*戦闘現在値!$L$27,0)</f>
        <v>84</v>
      </c>
      <c r="H83">
        <f t="shared" ref="H83:H88" si="7">ROUNDUP(E47/($B$82*$B$64*6),0)</f>
        <v>4</v>
      </c>
    </row>
    <row r="84" spans="2:8">
      <c r="D84" t="s">
        <v>2187</v>
      </c>
      <c r="E84">
        <f t="shared" si="6"/>
        <v>30</v>
      </c>
      <c r="F84">
        <f>ROUNDUP(E84*戦闘現在値!$L$27,0)</f>
        <v>630</v>
      </c>
      <c r="G84">
        <f>ROUNDUP(H84*戦闘現在値!$L$27,0)</f>
        <v>105</v>
      </c>
      <c r="H84">
        <f t="shared" si="7"/>
        <v>5</v>
      </c>
    </row>
    <row r="85" spans="2:8">
      <c r="D85" t="s">
        <v>2188</v>
      </c>
      <c r="E85">
        <f t="shared" si="6"/>
        <v>40</v>
      </c>
      <c r="F85">
        <f>ROUNDUP(E85*戦闘現在値!$L$27,0)</f>
        <v>840</v>
      </c>
      <c r="G85">
        <f>ROUNDUP(H85*戦闘現在値!$L$27,0)</f>
        <v>126</v>
      </c>
      <c r="H85">
        <f t="shared" si="7"/>
        <v>6</v>
      </c>
    </row>
    <row r="86" spans="2:8">
      <c r="D86" t="s">
        <v>2189</v>
      </c>
      <c r="E86">
        <f t="shared" si="6"/>
        <v>40</v>
      </c>
      <c r="F86">
        <f>ROUNDUP(E86*戦闘現在値!$L$27,0)</f>
        <v>840</v>
      </c>
      <c r="G86">
        <f>ROUNDUP(H86*戦闘現在値!$L$27,0)</f>
        <v>126</v>
      </c>
      <c r="H86">
        <f t="shared" si="7"/>
        <v>6</v>
      </c>
    </row>
    <row r="87" spans="2:8">
      <c r="D87" t="s">
        <v>2190</v>
      </c>
      <c r="E87">
        <f t="shared" si="6"/>
        <v>40</v>
      </c>
      <c r="F87">
        <f>ROUNDUP(E87*戦闘現在値!$L$27,0)</f>
        <v>840</v>
      </c>
      <c r="G87">
        <f>ROUNDUP(H87*戦闘現在値!$L$27,0)</f>
        <v>147</v>
      </c>
      <c r="H87">
        <f t="shared" si="7"/>
        <v>7</v>
      </c>
    </row>
    <row r="88" spans="2:8">
      <c r="D88" t="s">
        <v>2191</v>
      </c>
      <c r="E88">
        <f t="shared" si="6"/>
        <v>50</v>
      </c>
      <c r="F88">
        <f>ROUNDUP(E88*戦闘現在値!$L$27,0)</f>
        <v>1050</v>
      </c>
      <c r="G88">
        <f>ROUNDUP(H88*戦闘現在値!$L$27,0)</f>
        <v>168</v>
      </c>
      <c r="H88">
        <f t="shared" si="7"/>
        <v>8</v>
      </c>
    </row>
    <row r="89" spans="2:8">
      <c r="D89" t="str">
        <f t="shared" ref="D89:D95" si="8">D82&amp;"："&amp;F82&amp;"／"&amp;G82&amp;"　"</f>
        <v>～９：420／63　</v>
      </c>
    </row>
    <row r="90" spans="2:8">
      <c r="D90" t="str">
        <f t="shared" si="8"/>
        <v>１０～１４：630／84　</v>
      </c>
    </row>
    <row r="91" spans="2:8">
      <c r="D91" t="str">
        <f t="shared" si="8"/>
        <v>１５～１９：630／105　</v>
      </c>
    </row>
    <row r="92" spans="2:8">
      <c r="D92" t="str">
        <f t="shared" si="8"/>
        <v>２０～２４：840／126　</v>
      </c>
    </row>
    <row r="93" spans="2:8">
      <c r="D93" t="str">
        <f t="shared" si="8"/>
        <v>２５～３０：840／126　</v>
      </c>
    </row>
    <row r="94" spans="2:8">
      <c r="D94" t="str">
        <f t="shared" si="8"/>
        <v>３０～３９：840／147　</v>
      </c>
    </row>
    <row r="95" spans="2:8">
      <c r="D95" t="str">
        <f t="shared" si="8"/>
        <v>４０～：1050／168　</v>
      </c>
    </row>
    <row r="96" spans="2:8">
      <c r="D96" t="str">
        <f>C82&amp;"距離（１時間／10分） 効力値："&amp;D89&amp;D90&amp;D91&amp;D92&amp;D93</f>
        <v>警戒移動距離（１時間／10分） 効力値：～９：420／63　１０～１４：630／84　１５～１９：630／105　２０～２４：840／126　２５～３０：840／126　</v>
      </c>
    </row>
    <row r="97" spans="3:8">
      <c r="D97" t="str">
        <f>"                             "&amp;D93&amp;D94&amp;D95</f>
        <v xml:space="preserve">                             ２５～３０：840／126　３０～３９：840／147　４０～：1050／168　</v>
      </c>
    </row>
    <row r="98" spans="3:8">
      <c r="C98" t="s">
        <v>2197</v>
      </c>
      <c r="D98" t="str">
        <f>作成シート!C119</f>
        <v>なし</v>
      </c>
    </row>
    <row r="99" spans="3:8">
      <c r="C99" t="s">
        <v>2203</v>
      </c>
      <c r="D99">
        <f>VLOOKUP(D98,固定値!$DY$2:$DZ$6,2,FALSE)</f>
        <v>0</v>
      </c>
    </row>
    <row r="100" spans="3:8">
      <c r="D100" t="s">
        <v>2181</v>
      </c>
      <c r="E100" t="s">
        <v>2184</v>
      </c>
      <c r="F100" t="s">
        <v>2182</v>
      </c>
      <c r="G100" t="s">
        <v>2183</v>
      </c>
      <c r="H100" t="s">
        <v>2195</v>
      </c>
    </row>
    <row r="101" spans="3:8">
      <c r="C101" t="s">
        <v>2205</v>
      </c>
      <c r="D101" t="s">
        <v>2185</v>
      </c>
      <c r="E101">
        <v>160</v>
      </c>
      <c r="F101">
        <f>ROUNDUP(E101*$D$99,0)</f>
        <v>0</v>
      </c>
      <c r="G101">
        <f>ROUNDUP(H101*$D$99,0)</f>
        <v>0</v>
      </c>
      <c r="H101">
        <f t="shared" ref="H101:H107" si="9">ROUNDUP(E101/60,0)*10</f>
        <v>30</v>
      </c>
    </row>
    <row r="102" spans="3:8">
      <c r="D102" t="s">
        <v>2186</v>
      </c>
      <c r="E102">
        <v>200</v>
      </c>
      <c r="F102">
        <f t="shared" ref="F102:F107" si="10">ROUNDUP(E102*$D$99,0)</f>
        <v>0</v>
      </c>
      <c r="G102">
        <f t="shared" ref="G102:G107" si="11">ROUNDUP(H102*$D$99,0)</f>
        <v>0</v>
      </c>
      <c r="H102">
        <f t="shared" si="9"/>
        <v>40</v>
      </c>
    </row>
    <row r="103" spans="3:8">
      <c r="D103" t="s">
        <v>2187</v>
      </c>
      <c r="E103">
        <v>240</v>
      </c>
      <c r="F103">
        <f t="shared" si="10"/>
        <v>0</v>
      </c>
      <c r="G103">
        <f t="shared" si="11"/>
        <v>0</v>
      </c>
      <c r="H103">
        <f t="shared" si="9"/>
        <v>40</v>
      </c>
    </row>
    <row r="104" spans="3:8">
      <c r="D104" t="s">
        <v>2188</v>
      </c>
      <c r="E104">
        <v>280</v>
      </c>
      <c r="F104">
        <f t="shared" si="10"/>
        <v>0</v>
      </c>
      <c r="G104">
        <f t="shared" si="11"/>
        <v>0</v>
      </c>
      <c r="H104">
        <f t="shared" si="9"/>
        <v>50</v>
      </c>
    </row>
    <row r="105" spans="3:8">
      <c r="D105" t="s">
        <v>2189</v>
      </c>
      <c r="E105">
        <v>320</v>
      </c>
      <c r="F105">
        <f t="shared" si="10"/>
        <v>0</v>
      </c>
      <c r="G105">
        <f t="shared" si="11"/>
        <v>0</v>
      </c>
      <c r="H105">
        <f t="shared" si="9"/>
        <v>60</v>
      </c>
    </row>
    <row r="106" spans="3:8">
      <c r="D106" t="s">
        <v>2190</v>
      </c>
      <c r="E106">
        <v>350</v>
      </c>
      <c r="F106">
        <f t="shared" si="10"/>
        <v>0</v>
      </c>
      <c r="G106">
        <f t="shared" si="11"/>
        <v>0</v>
      </c>
      <c r="H106">
        <f t="shared" si="9"/>
        <v>60</v>
      </c>
    </row>
    <row r="107" spans="3:8">
      <c r="D107" t="s">
        <v>2191</v>
      </c>
      <c r="E107">
        <v>400</v>
      </c>
      <c r="F107">
        <f t="shared" si="10"/>
        <v>0</v>
      </c>
      <c r="G107">
        <f t="shared" si="11"/>
        <v>0</v>
      </c>
      <c r="H107">
        <f t="shared" si="9"/>
        <v>70</v>
      </c>
    </row>
    <row r="108" spans="3:8">
      <c r="D108" t="str">
        <f t="shared" ref="D108:D114" si="12">D101&amp;"："&amp;F101&amp;"／"&amp;G101&amp;"　"</f>
        <v>～９：0／0　</v>
      </c>
    </row>
    <row r="109" spans="3:8">
      <c r="D109" t="str">
        <f t="shared" si="12"/>
        <v>１０～１４：0／0　</v>
      </c>
    </row>
    <row r="110" spans="3:8">
      <c r="D110" t="str">
        <f t="shared" si="12"/>
        <v>１５～１９：0／0　</v>
      </c>
    </row>
    <row r="111" spans="3:8">
      <c r="D111" t="str">
        <f t="shared" si="12"/>
        <v>２０～２４：0／0　</v>
      </c>
    </row>
    <row r="112" spans="3:8">
      <c r="D112" t="str">
        <f t="shared" si="12"/>
        <v>２５～３０：0／0　</v>
      </c>
    </row>
    <row r="113" spans="3:8">
      <c r="D113" t="str">
        <f t="shared" si="12"/>
        <v>３０～３９：0／0　</v>
      </c>
    </row>
    <row r="114" spans="3:8">
      <c r="D114" t="str">
        <f t="shared" si="12"/>
        <v>４０～：0／0　</v>
      </c>
    </row>
    <row r="115" spans="3:8">
      <c r="D115" t="str">
        <f>IF(D99&gt;0,C101&amp;"距離（１時間／10分） 効力値："&amp;D108&amp;D109&amp;D110&amp;D111&amp;D112,"")</f>
        <v/>
      </c>
    </row>
    <row r="116" spans="3:8">
      <c r="D116" t="str">
        <f>IF(D99&gt;0,"                             "&amp;D112&amp;D113&amp;D114,"")</f>
        <v/>
      </c>
    </row>
    <row r="118" spans="3:8">
      <c r="D118" t="s">
        <v>2181</v>
      </c>
      <c r="E118" t="s">
        <v>2184</v>
      </c>
      <c r="F118" t="s">
        <v>2182</v>
      </c>
      <c r="G118" t="s">
        <v>2183</v>
      </c>
      <c r="H118" t="s">
        <v>2195</v>
      </c>
    </row>
    <row r="119" spans="3:8">
      <c r="C119" t="s">
        <v>2206</v>
      </c>
      <c r="D119" t="s">
        <v>2185</v>
      </c>
      <c r="E119">
        <f t="shared" ref="E119:E125" si="13">ROUNDUP(E101/($B$64*10),0)*10</f>
        <v>60</v>
      </c>
      <c r="F119">
        <f>ROUNDUP(E119*$D$99,0)</f>
        <v>0</v>
      </c>
      <c r="G119">
        <f>ROUNDUP(H119*$D$99,0)</f>
        <v>0</v>
      </c>
      <c r="H119">
        <f>ROUNDUP(E101/($B$64*6*10),0)*10</f>
        <v>10</v>
      </c>
    </row>
    <row r="120" spans="3:8">
      <c r="D120" t="s">
        <v>2186</v>
      </c>
      <c r="E120">
        <f t="shared" si="13"/>
        <v>70</v>
      </c>
      <c r="F120">
        <f t="shared" ref="F120:F125" si="14">ROUNDUP(E120*$D$99,0)</f>
        <v>0</v>
      </c>
      <c r="G120">
        <f t="shared" ref="G120:G125" si="15">ROUNDUP(H120*$D$99,0)</f>
        <v>0</v>
      </c>
      <c r="H120">
        <f t="shared" ref="H120:H125" si="16">ROUNDUP(E102/($B$64*6*10),0)*10</f>
        <v>20</v>
      </c>
    </row>
    <row r="121" spans="3:8">
      <c r="D121" t="s">
        <v>2187</v>
      </c>
      <c r="E121">
        <f t="shared" si="13"/>
        <v>80</v>
      </c>
      <c r="F121">
        <f t="shared" si="14"/>
        <v>0</v>
      </c>
      <c r="G121">
        <f t="shared" si="15"/>
        <v>0</v>
      </c>
      <c r="H121">
        <f t="shared" si="16"/>
        <v>20</v>
      </c>
    </row>
    <row r="122" spans="3:8">
      <c r="D122" t="s">
        <v>2188</v>
      </c>
      <c r="E122">
        <f t="shared" si="13"/>
        <v>100</v>
      </c>
      <c r="F122">
        <f t="shared" si="14"/>
        <v>0</v>
      </c>
      <c r="G122">
        <f t="shared" si="15"/>
        <v>0</v>
      </c>
      <c r="H122">
        <f t="shared" si="16"/>
        <v>20</v>
      </c>
    </row>
    <row r="123" spans="3:8">
      <c r="D123" t="s">
        <v>2189</v>
      </c>
      <c r="E123">
        <f t="shared" si="13"/>
        <v>110</v>
      </c>
      <c r="F123">
        <f t="shared" si="14"/>
        <v>0</v>
      </c>
      <c r="G123">
        <f t="shared" si="15"/>
        <v>0</v>
      </c>
      <c r="H123">
        <f t="shared" si="16"/>
        <v>20</v>
      </c>
    </row>
    <row r="124" spans="3:8">
      <c r="D124" t="s">
        <v>2190</v>
      </c>
      <c r="E124">
        <f t="shared" si="13"/>
        <v>120</v>
      </c>
      <c r="F124">
        <f t="shared" si="14"/>
        <v>0</v>
      </c>
      <c r="G124">
        <f t="shared" si="15"/>
        <v>0</v>
      </c>
      <c r="H124">
        <f t="shared" si="16"/>
        <v>20</v>
      </c>
    </row>
    <row r="125" spans="3:8">
      <c r="D125" t="s">
        <v>2191</v>
      </c>
      <c r="E125">
        <f t="shared" si="13"/>
        <v>140</v>
      </c>
      <c r="F125">
        <f t="shared" si="14"/>
        <v>0</v>
      </c>
      <c r="G125">
        <f t="shared" si="15"/>
        <v>0</v>
      </c>
      <c r="H125">
        <f t="shared" si="16"/>
        <v>30</v>
      </c>
    </row>
    <row r="126" spans="3:8">
      <c r="D126" t="str">
        <f t="shared" ref="D126:D132" si="17">D119&amp;"："&amp;F119&amp;"／"&amp;G119&amp;"　"</f>
        <v>～９：0／0　</v>
      </c>
    </row>
    <row r="127" spans="3:8">
      <c r="D127" t="str">
        <f t="shared" si="17"/>
        <v>１０～１４：0／0　</v>
      </c>
    </row>
    <row r="128" spans="3:8">
      <c r="D128" t="str">
        <f t="shared" si="17"/>
        <v>１５～１９：0／0　</v>
      </c>
    </row>
    <row r="129" spans="4:4">
      <c r="D129" t="str">
        <f t="shared" si="17"/>
        <v>２０～２４：0／0　</v>
      </c>
    </row>
    <row r="130" spans="4:4">
      <c r="D130" t="str">
        <f t="shared" si="17"/>
        <v>２５～３０：0／0　</v>
      </c>
    </row>
    <row r="131" spans="4:4">
      <c r="D131" t="str">
        <f t="shared" si="17"/>
        <v>３０～３９：0／0　</v>
      </c>
    </row>
    <row r="132" spans="4:4">
      <c r="D132" t="str">
        <f t="shared" si="17"/>
        <v>４０～：0／0　</v>
      </c>
    </row>
    <row r="133" spans="4:4">
      <c r="D133" t="str">
        <f>IF(D99&gt;0,C119&amp;"距離（１時間／10分） 効力値："&amp;D126&amp;D127&amp;D128&amp;D129&amp;D130,"")</f>
        <v/>
      </c>
    </row>
    <row r="134" spans="4:4">
      <c r="D134" t="str">
        <f>IF(D99&gt;0,"                             "&amp;D130&amp;D131&amp;D132,"")</f>
        <v/>
      </c>
    </row>
  </sheetData>
  <sheetProtection sheet="1" objects="1" scenarios="1" selectLockedCells="1" selectUnlockedCells="1"/>
  <phoneticPr fontId="2"/>
  <dataValidations disablePrompts="1" count="1">
    <dataValidation type="list" allowBlank="1" showInputMessage="1" showErrorMessage="1" sqref="D3:D5">
      <formula1>状態タイプ選択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P49"/>
  <sheetViews>
    <sheetView workbookViewId="0">
      <selection activeCell="I45" sqref="I45"/>
    </sheetView>
  </sheetViews>
  <sheetFormatPr defaultRowHeight="13"/>
  <cols>
    <col min="3" max="3" width="24.26953125" bestFit="1" customWidth="1"/>
    <col min="4" max="4" width="13.08984375" bestFit="1" customWidth="1"/>
    <col min="5" max="5" width="11" bestFit="1" customWidth="1"/>
    <col min="6" max="6" width="11.36328125" bestFit="1" customWidth="1"/>
  </cols>
  <sheetData>
    <row r="2" spans="2:16">
      <c r="B2" t="s">
        <v>518</v>
      </c>
      <c r="D2" t="s">
        <v>519</v>
      </c>
      <c r="E2" t="s">
        <v>520</v>
      </c>
      <c r="F2" t="s">
        <v>521</v>
      </c>
    </row>
    <row r="3" spans="2:16" ht="14">
      <c r="C3" t="s">
        <v>108</v>
      </c>
      <c r="D3">
        <f>IF(作成シート!$C$33=L3,1,0)</f>
        <v>1</v>
      </c>
      <c r="E3">
        <f>MAX(D3,K3)</f>
        <v>3</v>
      </c>
      <c r="F3">
        <f>VLOOKUP(E3,固定値!$BB$2:$BD$12,IF(D3=1,3,2),FALSE)</f>
        <v>2500</v>
      </c>
      <c r="G3" t="s">
        <v>108</v>
      </c>
      <c r="H3">
        <f>IF(E3=0,"",E3)</f>
        <v>3</v>
      </c>
      <c r="I3" s="20" t="str">
        <f>IF(E3=0,"",J3)</f>
        <v>ü</v>
      </c>
      <c r="J3" s="20" t="s">
        <v>522</v>
      </c>
      <c r="K3">
        <f>IF(COUNTIF($F$45:$F$49,C3)&gt;0,VLOOKUP(C3,$F$45:$G$49,2,FALSE),0)</f>
        <v>3</v>
      </c>
      <c r="L3" s="19" t="s">
        <v>523</v>
      </c>
      <c r="O3">
        <f>E3</f>
        <v>3</v>
      </c>
      <c r="P3" t="str">
        <f>G3</f>
        <v>戦士</v>
      </c>
    </row>
    <row r="4" spans="2:16" ht="14">
      <c r="C4" t="s">
        <v>524</v>
      </c>
      <c r="D4">
        <f>IF(作成シート!$C$33=L4,1,0)</f>
        <v>0</v>
      </c>
      <c r="E4">
        <f t="shared" ref="E4:E9" si="0">MAX(D4,K4)</f>
        <v>0</v>
      </c>
      <c r="F4">
        <f>VLOOKUP(E4,固定値!$BB$2:$BD$12,IF(D4=1,3,2),FALSE)</f>
        <v>0</v>
      </c>
      <c r="G4" t="s">
        <v>524</v>
      </c>
      <c r="H4" t="str">
        <f t="shared" ref="H4:H10" si="1">IF(E4=0,"",E4)</f>
        <v/>
      </c>
      <c r="I4" s="20" t="str">
        <f t="shared" ref="I4:I10" si="2">IF(E4=0,"",J4)</f>
        <v/>
      </c>
      <c r="J4" s="20" t="s">
        <v>522</v>
      </c>
      <c r="K4">
        <f t="shared" ref="K4:K10" si="3">IF(COUNTIF($F$45:$F$49,C4)&gt;0,VLOOKUP(C4,$F$45:$G$49,2,FALSE),0)</f>
        <v>0</v>
      </c>
      <c r="L4" s="19" t="s">
        <v>525</v>
      </c>
      <c r="O4">
        <f>E4</f>
        <v>0</v>
      </c>
      <c r="P4" t="str">
        <f>G4</f>
        <v>武道家</v>
      </c>
    </row>
    <row r="5" spans="2:16" ht="14">
      <c r="C5" t="s">
        <v>526</v>
      </c>
      <c r="D5">
        <f>IF(作成シート!$C$33=L5,1,0)</f>
        <v>0</v>
      </c>
      <c r="E5">
        <f t="shared" si="0"/>
        <v>0</v>
      </c>
      <c r="F5">
        <f>VLOOKUP(E5,固定値!$BB$2:$BD$12,IF(D5=1,3,2),FALSE)</f>
        <v>0</v>
      </c>
      <c r="G5" t="s">
        <v>526</v>
      </c>
      <c r="H5" t="str">
        <f t="shared" si="1"/>
        <v/>
      </c>
      <c r="I5" s="20" t="str">
        <f t="shared" si="2"/>
        <v/>
      </c>
      <c r="J5" s="20" t="s">
        <v>522</v>
      </c>
      <c r="K5">
        <f t="shared" si="3"/>
        <v>0</v>
      </c>
      <c r="L5" s="19" t="s">
        <v>527</v>
      </c>
      <c r="O5">
        <f>E6</f>
        <v>0</v>
      </c>
      <c r="P5" t="str">
        <f>G6</f>
        <v>斥候</v>
      </c>
    </row>
    <row r="6" spans="2:16" ht="14">
      <c r="C6" t="s">
        <v>528</v>
      </c>
      <c r="D6">
        <f>IF(作成シート!$C$33=L6,1,0)</f>
        <v>0</v>
      </c>
      <c r="E6">
        <f t="shared" si="0"/>
        <v>0</v>
      </c>
      <c r="F6">
        <f>VLOOKUP(E6,固定値!$BB$2:$BD$12,IF(D6=1,3,2),FALSE)</f>
        <v>0</v>
      </c>
      <c r="G6" t="s">
        <v>528</v>
      </c>
      <c r="H6" t="str">
        <f t="shared" si="1"/>
        <v/>
      </c>
      <c r="I6" s="20" t="str">
        <f t="shared" si="2"/>
        <v/>
      </c>
      <c r="J6" s="20" t="s">
        <v>522</v>
      </c>
      <c r="K6">
        <f t="shared" si="3"/>
        <v>0</v>
      </c>
      <c r="L6" s="19" t="s">
        <v>529</v>
      </c>
    </row>
    <row r="7" spans="2:16" ht="14">
      <c r="C7" t="s">
        <v>530</v>
      </c>
      <c r="D7">
        <f>IF(作成シート!$C$33=L7,1,0)</f>
        <v>0</v>
      </c>
      <c r="E7">
        <f t="shared" si="0"/>
        <v>0</v>
      </c>
      <c r="F7">
        <f>VLOOKUP(E7,固定値!$BB$2:$BD$12,IF(D7=1,3,2),FALSE)</f>
        <v>0</v>
      </c>
      <c r="G7" t="s">
        <v>530</v>
      </c>
      <c r="H7" t="str">
        <f t="shared" si="1"/>
        <v/>
      </c>
      <c r="I7" s="20" t="str">
        <f t="shared" si="2"/>
        <v/>
      </c>
      <c r="J7" s="20" t="s">
        <v>522</v>
      </c>
      <c r="K7">
        <f t="shared" si="3"/>
        <v>0</v>
      </c>
      <c r="L7" s="19" t="s">
        <v>531</v>
      </c>
    </row>
    <row r="8" spans="2:16" ht="14">
      <c r="C8" t="s">
        <v>532</v>
      </c>
      <c r="D8">
        <f>IF(作成シート!$C$33=L8,1,0)</f>
        <v>0</v>
      </c>
      <c r="E8">
        <f t="shared" si="0"/>
        <v>0</v>
      </c>
      <c r="F8">
        <f>VLOOKUP(E8,固定値!$BB$2:$BD$12,IF(D8=1,3,2),FALSE)</f>
        <v>0</v>
      </c>
      <c r="G8" t="s">
        <v>532</v>
      </c>
      <c r="H8" t="str">
        <f t="shared" si="1"/>
        <v/>
      </c>
      <c r="I8" s="20" t="str">
        <f t="shared" si="2"/>
        <v/>
      </c>
      <c r="J8" s="20" t="s">
        <v>522</v>
      </c>
      <c r="K8">
        <f t="shared" si="3"/>
        <v>0</v>
      </c>
      <c r="L8" s="19" t="s">
        <v>533</v>
      </c>
    </row>
    <row r="9" spans="2:16" ht="14">
      <c r="C9" t="s">
        <v>534</v>
      </c>
      <c r="D9">
        <f>IF(作成シート!$C$33=L9,1,0)</f>
        <v>0</v>
      </c>
      <c r="E9">
        <f t="shared" si="0"/>
        <v>0</v>
      </c>
      <c r="F9">
        <f>VLOOKUP(E9,固定値!$BB$2:$BD$12,IF(D9=1,3,2),FALSE)</f>
        <v>0</v>
      </c>
      <c r="G9" t="s">
        <v>534</v>
      </c>
      <c r="H9" t="str">
        <f t="shared" si="1"/>
        <v/>
      </c>
      <c r="I9" s="20" t="str">
        <f t="shared" si="2"/>
        <v/>
      </c>
      <c r="J9" s="20" t="s">
        <v>522</v>
      </c>
      <c r="K9">
        <f t="shared" si="3"/>
        <v>0</v>
      </c>
      <c r="L9" s="19" t="s">
        <v>535</v>
      </c>
    </row>
    <row r="10" spans="2:16" ht="14">
      <c r="C10" t="s">
        <v>536</v>
      </c>
      <c r="D10">
        <f>IF(作成シート!$C$33=L10,1,0)</f>
        <v>0</v>
      </c>
      <c r="E10">
        <f>MAX(D10,K10)</f>
        <v>0</v>
      </c>
      <c r="F10">
        <f>VLOOKUP(E10,固定値!$BB$2:$BD$12,IF(D10=1,3,2),FALSE)</f>
        <v>0</v>
      </c>
      <c r="G10" t="s">
        <v>536</v>
      </c>
      <c r="H10" t="str">
        <f t="shared" si="1"/>
        <v/>
      </c>
      <c r="I10" s="20" t="str">
        <f t="shared" si="2"/>
        <v/>
      </c>
      <c r="J10" s="20" t="s">
        <v>522</v>
      </c>
      <c r="K10">
        <f t="shared" si="3"/>
        <v>0</v>
      </c>
      <c r="L10" s="19" t="s">
        <v>40</v>
      </c>
    </row>
    <row r="12" spans="2:16">
      <c r="B12" t="s">
        <v>537</v>
      </c>
    </row>
    <row r="13" spans="2:16">
      <c r="C13" t="s">
        <v>538</v>
      </c>
      <c r="D13" s="5">
        <f>SUM(冒険結果!C2:C110)</f>
        <v>3000</v>
      </c>
    </row>
    <row r="14" spans="2:16">
      <c r="C14" t="s">
        <v>521</v>
      </c>
      <c r="D14" s="5">
        <f>SUM(F3:F10)+追加成長点!C3</f>
        <v>2500</v>
      </c>
    </row>
    <row r="15" spans="2:16">
      <c r="C15" t="s">
        <v>539</v>
      </c>
      <c r="D15" s="5">
        <f>D13-D14</f>
        <v>500</v>
      </c>
    </row>
    <row r="16" spans="2:16">
      <c r="C16" t="s">
        <v>540</v>
      </c>
      <c r="D16" s="5">
        <f>追加成長点!B3+VLOOKUP(D19,固定値!AQ2:AR11,2,FALSE)+SUM(冒険結果!D3:D110)</f>
        <v>10</v>
      </c>
    </row>
    <row r="17" spans="3:7">
      <c r="C17" t="s">
        <v>541</v>
      </c>
      <c r="D17" s="5">
        <f>SUM(冒険者技能!J3:J67)+SUM(一般技能!H3:H47)</f>
        <v>10</v>
      </c>
    </row>
    <row r="18" spans="3:7">
      <c r="C18" t="s">
        <v>542</v>
      </c>
      <c r="D18" s="5">
        <f>D16-D17</f>
        <v>0</v>
      </c>
    </row>
    <row r="19" spans="3:7">
      <c r="C19" t="s">
        <v>543</v>
      </c>
      <c r="D19" s="5">
        <f>VLOOKUP(D13,固定値!AP2:AR11,2,TRUE)</f>
        <v>1</v>
      </c>
      <c r="E19">
        <f>VLOOKUP(プロフィール!C9,固定値!$T$2:$V$10,2,FALSE)</f>
        <v>1</v>
      </c>
    </row>
    <row r="20" spans="3:7">
      <c r="C20" t="s">
        <v>544</v>
      </c>
      <c r="D20" s="5" t="str">
        <f>VLOOKUP(E20,固定値!$AA$2:$AB$7,2,FALSE)</f>
        <v>初歩</v>
      </c>
      <c r="E20">
        <f>VLOOKUP(D19,固定値!$X$1:$Y$11,2,FALSE)</f>
        <v>1</v>
      </c>
    </row>
    <row r="21" spans="3:7">
      <c r="C21" t="s">
        <v>545</v>
      </c>
      <c r="D21" s="5" t="str">
        <f>VLOOKUP(E21,固定値!$AA$2:$AB$7,2,FALSE)</f>
        <v>初歩</v>
      </c>
      <c r="E21">
        <f>MAX(MAX(冒険者技能!K3:K67),MAX(一般技能!I3:I47))</f>
        <v>1</v>
      </c>
    </row>
    <row r="22" spans="3:7">
      <c r="C22" t="s">
        <v>546</v>
      </c>
      <c r="D22">
        <f>5+IF(冒険者技能!K15&gt;0,1,0)</f>
        <v>5</v>
      </c>
      <c r="E22" s="4">
        <f>D22</f>
        <v>5</v>
      </c>
    </row>
    <row r="23" spans="3:7">
      <c r="C23" t="s">
        <v>547</v>
      </c>
      <c r="D23">
        <f>4+IF(冒険者技能!K15&gt;1,1,0)</f>
        <v>4</v>
      </c>
      <c r="E23" s="4">
        <f>E22+D23</f>
        <v>9</v>
      </c>
    </row>
    <row r="24" spans="3:7">
      <c r="C24" t="s">
        <v>548</v>
      </c>
      <c r="D24">
        <f>3+IF(冒険者技能!K15&gt;2,1,0)</f>
        <v>3</v>
      </c>
      <c r="E24" s="4">
        <f>E23+D24</f>
        <v>12</v>
      </c>
    </row>
    <row r="25" spans="3:7">
      <c r="C25" t="s">
        <v>549</v>
      </c>
      <c r="D25">
        <f>2+IF(冒険者技能!K15&gt;3,1,0)</f>
        <v>2</v>
      </c>
      <c r="E25" s="4">
        <f>E24+D25</f>
        <v>14</v>
      </c>
    </row>
    <row r="26" spans="3:7">
      <c r="C26" t="s">
        <v>550</v>
      </c>
      <c r="D26">
        <f>1+IF(冒険者技能!K15&gt;4,1,0)</f>
        <v>1</v>
      </c>
      <c r="E26" s="4">
        <f>E25+D26</f>
        <v>15</v>
      </c>
    </row>
    <row r="27" spans="3:7">
      <c r="C27" t="s">
        <v>551</v>
      </c>
      <c r="D27" s="4" t="str">
        <f>G27&amp;"／"&amp;E27+F27</f>
        <v>0／0</v>
      </c>
      <c r="E27" s="4">
        <f>E7</f>
        <v>0</v>
      </c>
      <c r="F27">
        <f>冒険者技能!K63</f>
        <v>0</v>
      </c>
      <c r="G27">
        <f>COUNTIF(習得呪文!C3:C12,"真言呪文")</f>
        <v>0</v>
      </c>
    </row>
    <row r="28" spans="3:7">
      <c r="C28" t="s">
        <v>552</v>
      </c>
      <c r="D28" s="4" t="str">
        <f>G28&amp;"／"&amp;E28+F28</f>
        <v>0／0</v>
      </c>
      <c r="E28" s="4">
        <f>E8</f>
        <v>0</v>
      </c>
      <c r="F28">
        <f>冒険者技能!K64</f>
        <v>0</v>
      </c>
      <c r="G28">
        <f>COUNTIF(習得呪文!C3:C12,"奇跡")</f>
        <v>0</v>
      </c>
    </row>
    <row r="29" spans="3:7">
      <c r="C29" t="s">
        <v>553</v>
      </c>
      <c r="D29" s="4" t="str">
        <f>G29&amp;"／"&amp;E29+F29</f>
        <v>0／0</v>
      </c>
      <c r="E29" s="4">
        <f>E9</f>
        <v>0</v>
      </c>
      <c r="F29">
        <f>冒険者技能!K65</f>
        <v>0</v>
      </c>
      <c r="G29">
        <f>COUNTIF(習得呪文!C3:C12,"祖竜術")</f>
        <v>0</v>
      </c>
    </row>
    <row r="30" spans="3:7">
      <c r="C30" t="s">
        <v>554</v>
      </c>
      <c r="D30" s="4" t="str">
        <f>G30&amp;"／"&amp;E30+F30</f>
        <v>0／0</v>
      </c>
      <c r="E30" s="4">
        <f>E10</f>
        <v>0</v>
      </c>
      <c r="F30">
        <f>冒険者技能!K66</f>
        <v>0</v>
      </c>
      <c r="G30">
        <f>COUNTIF(習得呪文!C3:C12,"精霊術")</f>
        <v>0</v>
      </c>
    </row>
    <row r="31" spans="3:7">
      <c r="C31" t="s">
        <v>555</v>
      </c>
      <c r="D31" s="4">
        <f>COUNTIF(冒険結果!E3:E110,ラベル!$P$3)</f>
        <v>0</v>
      </c>
      <c r="E31" s="4">
        <f>VLOOKUP(プロフィール!C9,固定値!$T$2:$V$10,3,FALSE)</f>
        <v>0</v>
      </c>
    </row>
    <row r="32" spans="3:7">
      <c r="C32" t="s">
        <v>556</v>
      </c>
      <c r="D32" s="4">
        <f>COUNTA(冒険結果!E3:E110)</f>
        <v>0</v>
      </c>
    </row>
    <row r="33" spans="2:7">
      <c r="B33" t="s">
        <v>557</v>
      </c>
    </row>
    <row r="34" spans="2:7">
      <c r="C34" t="str">
        <f>IF(E3&gt;0,"【"&amp;C3&amp;"："&amp;E3&amp;"】","")</f>
        <v>【戦士：3】</v>
      </c>
    </row>
    <row r="35" spans="2:7">
      <c r="C35" t="str">
        <f t="shared" ref="C35:C41" si="4">IF(E4&gt;0,"【"&amp;C4&amp;"："&amp;E4&amp;"】","")</f>
        <v/>
      </c>
    </row>
    <row r="36" spans="2:7">
      <c r="C36" t="str">
        <f t="shared" si="4"/>
        <v/>
      </c>
    </row>
    <row r="37" spans="2:7">
      <c r="C37" t="str">
        <f t="shared" si="4"/>
        <v/>
      </c>
    </row>
    <row r="38" spans="2:7">
      <c r="C38" t="str">
        <f t="shared" si="4"/>
        <v/>
      </c>
    </row>
    <row r="39" spans="2:7">
      <c r="C39" t="str">
        <f t="shared" si="4"/>
        <v/>
      </c>
    </row>
    <row r="40" spans="2:7">
      <c r="C40" t="str">
        <f t="shared" si="4"/>
        <v/>
      </c>
    </row>
    <row r="41" spans="2:7">
      <c r="C41" t="str">
        <f t="shared" si="4"/>
        <v/>
      </c>
    </row>
    <row r="44" spans="2:7">
      <c r="B44" t="s">
        <v>558</v>
      </c>
      <c r="F44" t="s">
        <v>559</v>
      </c>
      <c r="G44" t="s">
        <v>560</v>
      </c>
    </row>
    <row r="45" spans="2:7">
      <c r="C45" t="str">
        <f>作成シート!B37</f>
        <v>所持冒険者職業レベル(1)</v>
      </c>
      <c r="D45" t="str">
        <f>作成シート!C37</f>
        <v>戦士：3</v>
      </c>
      <c r="E45">
        <f>IF(D45="なし","",FIND("：",D45))</f>
        <v>3</v>
      </c>
      <c r="F45" t="str">
        <f>IF(E45="","",LEFT(D45,E45-1))</f>
        <v>戦士</v>
      </c>
      <c r="G45">
        <f>IF(F45="",0,INT(RIGHT(D45,LEN(D45)-E45)))</f>
        <v>3</v>
      </c>
    </row>
    <row r="46" spans="2:7">
      <c r="C46" t="str">
        <f>作成シート!B38</f>
        <v>所持冒険者職業レベル(2)</v>
      </c>
      <c r="D46" t="str">
        <f>作成シート!C38</f>
        <v>なし</v>
      </c>
      <c r="E46" t="str">
        <f>IF(D46="なし","",FIND("：",D46))</f>
        <v/>
      </c>
      <c r="F46" t="str">
        <f t="shared" ref="F46" si="5">IF(E46="","",LEFT(D46,E46-1))</f>
        <v/>
      </c>
      <c r="G46">
        <f t="shared" ref="G46:G49" si="6">IF(F46="",0,INT(RIGHT(D46,LEN(D46)-E46)))</f>
        <v>0</v>
      </c>
    </row>
    <row r="47" spans="2:7">
      <c r="C47" t="str">
        <f>作成シート!B39</f>
        <v>所持冒険者職業レベル(3)</v>
      </c>
      <c r="D47" t="str">
        <f>作成シート!C39</f>
        <v>なし</v>
      </c>
      <c r="E47" t="str">
        <f t="shared" ref="E47:E49" si="7">IF(D47="なし","",FIND("：",D47))</f>
        <v/>
      </c>
      <c r="F47" t="str">
        <f t="shared" ref="F47:F49" si="8">IF(E47="","",LEFT(D47,E47-1))</f>
        <v/>
      </c>
      <c r="G47">
        <f t="shared" si="6"/>
        <v>0</v>
      </c>
    </row>
    <row r="48" spans="2:7">
      <c r="C48" t="str">
        <f>作成シート!B40</f>
        <v>所持冒険者職業レベル(4)</v>
      </c>
      <c r="D48" t="str">
        <f>作成シート!C40</f>
        <v>なし</v>
      </c>
      <c r="E48" t="str">
        <f t="shared" si="7"/>
        <v/>
      </c>
      <c r="F48" t="str">
        <f t="shared" si="8"/>
        <v/>
      </c>
      <c r="G48">
        <f t="shared" si="6"/>
        <v>0</v>
      </c>
    </row>
    <row r="49" spans="3:7">
      <c r="C49" t="str">
        <f>作成シート!B41</f>
        <v>所持冒険者職業レベル(5)</v>
      </c>
      <c r="D49" t="str">
        <f>作成シート!C41</f>
        <v>なし</v>
      </c>
      <c r="E49" t="str">
        <f t="shared" si="7"/>
        <v/>
      </c>
      <c r="F49" t="str">
        <f t="shared" si="8"/>
        <v/>
      </c>
      <c r="G49">
        <f t="shared" si="6"/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48A0FE-2123-4C2B-94F7-3045B7781F34}">
            <xm:f>戦闘現在値!$L$23&gt;$E$23-1</xm:f>
            <x14:dxf>
              <font>
                <color theme="1"/>
              </font>
            </x14:dxf>
          </x14:cfRule>
          <xm:sqref>B22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ラベル!$I$2:$I$3</xm:f>
          </x14:formula1>
          <xm:sqref>D3:D10</xm:sqref>
        </x14:dataValidation>
        <x14:dataValidation type="list" allowBlank="1" showInputMessage="1" showErrorMessage="1">
          <x14:formula1>
            <xm:f>ラベル!$J$2:$J$12</xm:f>
          </x14:formula1>
          <xm:sqref>E3:E10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K12"/>
  <sheetViews>
    <sheetView workbookViewId="0">
      <selection activeCell="H7" sqref="H7"/>
    </sheetView>
  </sheetViews>
  <sheetFormatPr defaultRowHeight="13"/>
  <cols>
    <col min="2" max="2" width="9.26953125" bestFit="1" customWidth="1"/>
    <col min="3" max="3" width="7.26953125" bestFit="1" customWidth="1"/>
    <col min="4" max="4" width="9.26953125" bestFit="1" customWidth="1"/>
    <col min="5" max="5" width="13.6328125" bestFit="1" customWidth="1"/>
    <col min="6" max="6" width="7.26953125" bestFit="1" customWidth="1"/>
    <col min="8" max="8" width="52.6328125" customWidth="1"/>
    <col min="9" max="9" width="74.6328125" customWidth="1"/>
    <col min="10" max="10" width="69.08984375" customWidth="1"/>
    <col min="11" max="11" width="75.36328125" customWidth="1"/>
  </cols>
  <sheetData>
    <row r="1" spans="2:11" ht="78.650000000000006" customHeight="1">
      <c r="H1" s="6" t="str">
        <f>H3&amp;H4&amp;H5&amp;H6&amp;H7&amp;H8&amp;H9&amp;H10&amp;H11&amp;H12</f>
        <v/>
      </c>
      <c r="I1" s="6" t="str">
        <f>I3&amp;I4&amp;I5&amp;I6&amp;I7&amp;I8&amp;I9&amp;I10&amp;I11&amp;I12</f>
        <v/>
      </c>
      <c r="J1" s="6" t="str">
        <f>MID(I1,1,216)</f>
        <v/>
      </c>
      <c r="K1" s="6" t="str">
        <f>MID(I1,217,432)</f>
        <v/>
      </c>
    </row>
    <row r="2" spans="2:11">
      <c r="B2" t="s">
        <v>561</v>
      </c>
      <c r="C2" t="s">
        <v>562</v>
      </c>
      <c r="D2" t="s">
        <v>384</v>
      </c>
      <c r="E2" t="s">
        <v>431</v>
      </c>
      <c r="F2" t="s">
        <v>563</v>
      </c>
      <c r="G2" t="s">
        <v>564</v>
      </c>
    </row>
    <row r="3" spans="2:11">
      <c r="B3" t="str">
        <f>作成シート!C43</f>
        <v>なし</v>
      </c>
      <c r="C3" t="str">
        <f>VLOOKUP(習得呪文!B3,固定値!$BF$2:$BJ$256,2,FALSE)</f>
        <v>-</v>
      </c>
      <c r="D3" t="str">
        <f>VLOOKUP(習得呪文!B3,固定値!$BF$2:$BJ$256,3,FALSE)</f>
        <v>-</v>
      </c>
      <c r="E3" t="str">
        <f>VLOOKUP(習得呪文!B3,固定値!$BF$2:$BJ$256,4,FALSE)</f>
        <v>-</v>
      </c>
      <c r="F3" t="str">
        <f>VLOOKUP(習得呪文!B3,固定値!$BF$2:$BJ$256,5,FALSE)</f>
        <v>-</v>
      </c>
      <c r="G3" t="str">
        <f>VLOOKUP(習得呪文!B3,固定値!$BF$2:$BK$256,6,FALSE)</f>
        <v>-</v>
      </c>
      <c r="H3" t="str">
        <f>IF(B3="なし","",CHAR(10)&amp;C3&amp;"《"&amp;B3&amp;"》　("&amp;D3&amp;"("&amp;E3&amp;"))難易度： "&amp;F3)</f>
        <v/>
      </c>
      <c r="I3" t="str">
        <f>IF(B3="なし","",CHAR(10)&amp;"《"&amp;B3&amp;"》"&amp;REPT("　",8-LEN(B3))&amp;LEFT(C3,2)&amp;REPT("　",4-LEN(LEFT(C3,2)))&amp;LEFT(D3,2)&amp;"("&amp;LEFT(E3,4)&amp;")"&amp;REPT("　",4-LEN(LEFT(E3,4)))&amp;F3&amp;REPT(" ",46-LEN(F3))&amp;G3)</f>
        <v/>
      </c>
    </row>
    <row r="4" spans="2:11">
      <c r="B4" t="str">
        <f>作成シート!C44</f>
        <v>なし</v>
      </c>
      <c r="C4" t="str">
        <f>VLOOKUP(習得呪文!B4,固定値!$BF$2:$BJ$256,2,FALSE)</f>
        <v>-</v>
      </c>
      <c r="D4" t="str">
        <f>VLOOKUP(習得呪文!B4,固定値!$BF$2:$BJ$256,3,FALSE)</f>
        <v>-</v>
      </c>
      <c r="E4" t="str">
        <f>VLOOKUP(習得呪文!B4,固定値!$BF$2:$BJ$256,4,FALSE)</f>
        <v>-</v>
      </c>
      <c r="F4" t="str">
        <f>VLOOKUP(習得呪文!B4,固定値!$BF$2:$BJ$256,5,FALSE)</f>
        <v>-</v>
      </c>
      <c r="G4" t="str">
        <f>VLOOKUP(習得呪文!B4,固定値!$BF$2:$BK$256,6,FALSE)</f>
        <v>-</v>
      </c>
      <c r="H4" t="str">
        <f t="shared" ref="H4:H12" si="0">IF(B4="なし","",CHAR(10)&amp;C4&amp;"《"&amp;B4&amp;"》　("&amp;D4&amp;"("&amp;E4&amp;"))難易度： "&amp;F4)</f>
        <v/>
      </c>
      <c r="I4" t="str">
        <f t="shared" ref="I4:I12" si="1">IF(B4="なし","",CHAR(10)&amp;"《"&amp;B4&amp;"》"&amp;REPT("　",8-LEN(B4))&amp;LEFT(C4,2)&amp;REPT("　",4-LEN(LEFT(C4,2)))&amp;LEFT(D4,2)&amp;"("&amp;LEFT(E4,4)&amp;")"&amp;REPT("　",4-LEN(LEFT(E4,4)))&amp;F4&amp;REPT(" ",46-LEN(F4))&amp;G4)</f>
        <v/>
      </c>
    </row>
    <row r="5" spans="2:11">
      <c r="B5" t="str">
        <f>作成シート!C45</f>
        <v>なし</v>
      </c>
      <c r="C5" t="str">
        <f>VLOOKUP(習得呪文!B5,固定値!$BF$2:$BJ$256,2,FALSE)</f>
        <v>-</v>
      </c>
      <c r="D5" t="str">
        <f>VLOOKUP(習得呪文!B5,固定値!$BF$2:$BJ$256,3,FALSE)</f>
        <v>-</v>
      </c>
      <c r="E5" t="str">
        <f>VLOOKUP(習得呪文!B5,固定値!$BF$2:$BJ$256,4,FALSE)</f>
        <v>-</v>
      </c>
      <c r="F5" t="str">
        <f>VLOOKUP(習得呪文!B5,固定値!$BF$2:$BJ$256,5,FALSE)</f>
        <v>-</v>
      </c>
      <c r="G5" t="str">
        <f>VLOOKUP(習得呪文!B5,固定値!$BF$2:$BK$256,6,FALSE)</f>
        <v>-</v>
      </c>
      <c r="H5" t="str">
        <f t="shared" si="0"/>
        <v/>
      </c>
      <c r="I5" t="str">
        <f t="shared" si="1"/>
        <v/>
      </c>
    </row>
    <row r="6" spans="2:11">
      <c r="B6" t="str">
        <f>作成シート!C46</f>
        <v>なし</v>
      </c>
      <c r="C6" t="str">
        <f>VLOOKUP(習得呪文!B6,固定値!$BF$2:$BJ$256,2,FALSE)</f>
        <v>-</v>
      </c>
      <c r="D6" t="str">
        <f>VLOOKUP(習得呪文!B6,固定値!$BF$2:$BJ$256,3,FALSE)</f>
        <v>-</v>
      </c>
      <c r="E6" t="str">
        <f>VLOOKUP(習得呪文!B6,固定値!$BF$2:$BJ$256,4,FALSE)</f>
        <v>-</v>
      </c>
      <c r="F6" t="str">
        <f>VLOOKUP(習得呪文!B6,固定値!$BF$2:$BJ$256,5,FALSE)</f>
        <v>-</v>
      </c>
      <c r="G6" t="str">
        <f>VLOOKUP(習得呪文!B6,固定値!$BF$2:$BK$256,6,FALSE)</f>
        <v>-</v>
      </c>
      <c r="H6" t="str">
        <f t="shared" si="0"/>
        <v/>
      </c>
      <c r="I6" t="str">
        <f t="shared" si="1"/>
        <v/>
      </c>
    </row>
    <row r="7" spans="2:11">
      <c r="B7" t="str">
        <f>作成シート!C47</f>
        <v>なし</v>
      </c>
      <c r="C7" t="str">
        <f>VLOOKUP(習得呪文!B7,固定値!$BF$2:$BJ$256,2,FALSE)</f>
        <v>-</v>
      </c>
      <c r="D7" t="str">
        <f>VLOOKUP(習得呪文!B7,固定値!$BF$2:$BJ$256,3,FALSE)</f>
        <v>-</v>
      </c>
      <c r="E7" t="str">
        <f>VLOOKUP(習得呪文!B7,固定値!$BF$2:$BJ$256,4,FALSE)</f>
        <v>-</v>
      </c>
      <c r="F7" t="str">
        <f>VLOOKUP(習得呪文!B7,固定値!$BF$2:$BJ$256,5,FALSE)</f>
        <v>-</v>
      </c>
      <c r="G7" t="str">
        <f>VLOOKUP(習得呪文!B7,固定値!$BF$2:$BK$256,6,FALSE)</f>
        <v>-</v>
      </c>
      <c r="H7" t="str">
        <f t="shared" si="0"/>
        <v/>
      </c>
      <c r="I7" t="str">
        <f t="shared" si="1"/>
        <v/>
      </c>
    </row>
    <row r="8" spans="2:11">
      <c r="B8" t="str">
        <f>作成シート!C48</f>
        <v>なし</v>
      </c>
      <c r="C8" t="str">
        <f>VLOOKUP(習得呪文!B8,固定値!$BF$2:$BJ$256,2,FALSE)</f>
        <v>-</v>
      </c>
      <c r="D8" t="str">
        <f>VLOOKUP(習得呪文!B8,固定値!$BF$2:$BJ$256,3,FALSE)</f>
        <v>-</v>
      </c>
      <c r="E8" t="str">
        <f>VLOOKUP(習得呪文!B8,固定値!$BF$2:$BJ$256,4,FALSE)</f>
        <v>-</v>
      </c>
      <c r="F8" t="str">
        <f>VLOOKUP(習得呪文!B8,固定値!$BF$2:$BJ$256,5,FALSE)</f>
        <v>-</v>
      </c>
      <c r="G8" t="str">
        <f>VLOOKUP(習得呪文!B8,固定値!$BF$2:$BK$256,6,FALSE)</f>
        <v>-</v>
      </c>
      <c r="H8" t="str">
        <f t="shared" si="0"/>
        <v/>
      </c>
      <c r="I8" t="str">
        <f t="shared" si="1"/>
        <v/>
      </c>
    </row>
    <row r="9" spans="2:11">
      <c r="B9" t="str">
        <f>作成シート!C49</f>
        <v>なし</v>
      </c>
      <c r="C9" t="str">
        <f>VLOOKUP(習得呪文!B9,固定値!$BF$2:$BJ$256,2,FALSE)</f>
        <v>-</v>
      </c>
      <c r="D9" t="str">
        <f>VLOOKUP(習得呪文!B9,固定値!$BF$2:$BJ$256,3,FALSE)</f>
        <v>-</v>
      </c>
      <c r="E9" t="str">
        <f>VLOOKUP(習得呪文!B9,固定値!$BF$2:$BJ$256,4,FALSE)</f>
        <v>-</v>
      </c>
      <c r="F9" t="str">
        <f>VLOOKUP(習得呪文!B9,固定値!$BF$2:$BJ$256,5,FALSE)</f>
        <v>-</v>
      </c>
      <c r="G9" t="str">
        <f>VLOOKUP(習得呪文!B9,固定値!$BF$2:$BK$256,6,FALSE)</f>
        <v>-</v>
      </c>
      <c r="H9" t="str">
        <f t="shared" si="0"/>
        <v/>
      </c>
      <c r="I9" t="str">
        <f t="shared" si="1"/>
        <v/>
      </c>
    </row>
    <row r="10" spans="2:11">
      <c r="B10" t="str">
        <f>作成シート!C50</f>
        <v>なし</v>
      </c>
      <c r="C10" t="str">
        <f>VLOOKUP(習得呪文!B10,固定値!$BF$2:$BJ$256,2,FALSE)</f>
        <v>-</v>
      </c>
      <c r="D10" t="str">
        <f>VLOOKUP(習得呪文!B10,固定値!$BF$2:$BJ$256,3,FALSE)</f>
        <v>-</v>
      </c>
      <c r="E10" t="str">
        <f>VLOOKUP(習得呪文!B10,固定値!$BF$2:$BJ$256,4,FALSE)</f>
        <v>-</v>
      </c>
      <c r="F10" t="str">
        <f>VLOOKUP(習得呪文!B10,固定値!$BF$2:$BJ$256,5,FALSE)</f>
        <v>-</v>
      </c>
      <c r="G10" t="str">
        <f>VLOOKUP(習得呪文!B10,固定値!$BF$2:$BK$256,6,FALSE)</f>
        <v>-</v>
      </c>
      <c r="H10" t="str">
        <f t="shared" si="0"/>
        <v/>
      </c>
      <c r="I10" t="str">
        <f t="shared" si="1"/>
        <v/>
      </c>
    </row>
    <row r="11" spans="2:11">
      <c r="B11" t="str">
        <f>作成シート!C51</f>
        <v>なし</v>
      </c>
      <c r="C11" t="str">
        <f>VLOOKUP(習得呪文!B11,固定値!$BF$2:$BJ$256,2,FALSE)</f>
        <v>-</v>
      </c>
      <c r="D11" t="str">
        <f>VLOOKUP(習得呪文!B11,固定値!$BF$2:$BJ$256,3,FALSE)</f>
        <v>-</v>
      </c>
      <c r="E11" t="str">
        <f>VLOOKUP(習得呪文!B11,固定値!$BF$2:$BJ$256,4,FALSE)</f>
        <v>-</v>
      </c>
      <c r="F11" t="str">
        <f>VLOOKUP(習得呪文!B11,固定値!$BF$2:$BJ$256,5,FALSE)</f>
        <v>-</v>
      </c>
      <c r="G11" t="str">
        <f>VLOOKUP(習得呪文!B11,固定値!$BF$2:$BK$256,6,FALSE)</f>
        <v>-</v>
      </c>
      <c r="H11" t="str">
        <f t="shared" si="0"/>
        <v/>
      </c>
      <c r="I11" t="str">
        <f t="shared" si="1"/>
        <v/>
      </c>
    </row>
    <row r="12" spans="2:11">
      <c r="B12" t="str">
        <f>作成シート!C52</f>
        <v>なし</v>
      </c>
      <c r="C12" t="str">
        <f>VLOOKUP(習得呪文!B12,固定値!$BF$2:$BJ$256,2,FALSE)</f>
        <v>-</v>
      </c>
      <c r="D12" t="str">
        <f>VLOOKUP(習得呪文!B12,固定値!$BF$2:$BJ$256,3,FALSE)</f>
        <v>-</v>
      </c>
      <c r="E12" t="str">
        <f>VLOOKUP(習得呪文!B12,固定値!$BF$2:$BJ$256,4,FALSE)</f>
        <v>-</v>
      </c>
      <c r="F12" t="str">
        <f>VLOOKUP(習得呪文!B12,固定値!$BF$2:$BJ$256,5,FALSE)</f>
        <v>-</v>
      </c>
      <c r="G12" t="str">
        <f>VLOOKUP(習得呪文!B12,固定値!$BF$2:$BK$256,6,FALSE)</f>
        <v>-</v>
      </c>
      <c r="H12" t="str">
        <f t="shared" si="0"/>
        <v/>
      </c>
      <c r="I12" t="str">
        <f t="shared" si="1"/>
        <v/>
      </c>
    </row>
  </sheetData>
  <sheetProtection sheet="1" objects="1" scenarios="1" selectLockedCells="1" selectUnlockedCells="1"/>
  <dataConsolidate/>
  <phoneticPr fontId="2"/>
  <dataValidations count="1">
    <dataValidation type="list" allowBlank="1" showInputMessage="1" showErrorMessage="1" sqref="B3:B26">
      <formula1>呪文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Z67"/>
  <sheetViews>
    <sheetView topLeftCell="K1" workbookViewId="0">
      <selection activeCell="O60" sqref="O60"/>
    </sheetView>
  </sheetViews>
  <sheetFormatPr defaultRowHeight="13"/>
  <cols>
    <col min="3" max="3" width="18.90625" bestFit="1" customWidth="1"/>
    <col min="4" max="4" width="19.90625" bestFit="1" customWidth="1"/>
    <col min="5" max="7" width="19.90625" customWidth="1"/>
    <col min="8" max="8" width="18.453125" bestFit="1" customWidth="1"/>
    <col min="9" max="9" width="9.26953125" bestFit="1" customWidth="1"/>
    <col min="13" max="13" width="18.90625" bestFit="1" customWidth="1"/>
    <col min="14" max="14" width="69.453125" customWidth="1"/>
    <col min="15" max="15" width="51.08984375" customWidth="1"/>
    <col min="16" max="16" width="8.08984375" customWidth="1"/>
    <col min="17" max="17" width="22.453125" customWidth="1"/>
    <col min="18" max="20" width="24.7265625" customWidth="1"/>
    <col min="21" max="21" width="15.453125" customWidth="1"/>
  </cols>
  <sheetData>
    <row r="1" spans="2:24" ht="22" customHeight="1">
      <c r="N1" s="6" t="str">
        <f xml:space="preserve">
N3&amp;N4&amp;N5&amp;N6&amp;N7&amp;N8&amp;N9&amp;N10&amp;
N11&amp;N12&amp;N13&amp;N14&amp;N15&amp;N16&amp;N17&amp;N18&amp;N19&amp;N20&amp;
N21&amp;N22&amp;N23&amp;N24&amp;N25&amp;N26&amp;N27&amp;N28&amp;N29&amp;N30&amp;
N31&amp;N32&amp;N33&amp;N34&amp;N35&amp;N36&amp;N37&amp;N38&amp;N39&amp;N40&amp;
N41&amp;N42&amp;N43&amp;N44&amp;N45&amp;N46&amp;N47&amp;N48&amp;N49&amp;N50&amp;
N51&amp;N52&amp;N53&amp;N54&amp;N55&amp;N56&amp;N57&amp;N58&amp;N59&amp;N60&amp;
N61&amp;N62&amp;N63&amp;N64&amp;N65&amp;N66&amp;N67</f>
        <v xml:space="preserve">
【頑健】　　　　　　　　　●　　　　　○　　　　　○　　　　　○　　 　　○　 ／
【幸運】　　　　　　　　　●　　　　　○　　　　　○　　　　　○　　 　　○　 ／
【荷重行動】　　　　　　　●　　　　　○　　　　　○　　　　　○　　 　　○　 ／
【挑発】　　　　　　　　　●　　　　　○　　　　　○　　　　　○　　 　　○　 ／
【武器：投擲武器】　　　　●　　　　　○　　　　　○　　　　　○　　 　　○　 ／</v>
      </c>
      <c r="O1" s="6" t="str">
        <f xml:space="preserve">
O3&amp;O4&amp;O5&amp;O6&amp;O7&amp;O8&amp;O9&amp;O10&amp;
O11&amp;O12&amp;O13&amp;O14&amp;O15&amp;O16&amp;O17&amp;O18&amp;O19&amp;O20&amp;
O21&amp;O22&amp;O23&amp;O24&amp;O25&amp;O26&amp;O27&amp;O28&amp;O29&amp;O30&amp;
O31&amp;O32&amp;O33&amp;O34&amp;O35&amp;O36&amp;O37&amp;O38&amp;O39&amp;O40&amp;
O41&amp;O42&amp;O43&amp;O44&amp;O45&amp;O46&amp;O47&amp;O48&amp;O49&amp;O50&amp;
O51&amp;O52&amp;O53&amp;O54&amp;O55&amp;O56&amp;O57&amp;O58&amp;O59&amp;O60&amp;
O61&amp;O62&amp;O63&amp;O64&amp;O65&amp;O66&amp;O67</f>
        <v xml:space="preserve">
【頑健】　　　　　　初歩                      249
【幸運】　　　　　　初歩                      253
【荷重行動】　　　　初歩                      258
【挑発】　　　　　　初歩                      261
【武器：投擲】　　　初歩                      257</v>
      </c>
      <c r="P1" s="6"/>
      <c r="Q1" s="6" t="str">
        <f>Q50&amp;Q51&amp;Q52&amp;Q53&amp;Q54&amp;Q56&amp;Q57&amp;Q58&amp;Q59&amp;Q60&amp;Q61</f>
        <v/>
      </c>
      <c r="R1" s="6" t="str">
        <f>R19&amp;R20&amp;R26&amp;R37&amp;R38&amp;R39&amp;R40&amp;R41&amp;R42&amp;R43&amp;R44&amp;R45</f>
        <v xml:space="preserve">
【武器：投擲】+1</v>
      </c>
      <c r="S1" s="6" t="str">
        <f>S29&amp;S47&amp;S48&amp;S49</f>
        <v/>
      </c>
      <c r="T1" s="6" t="str">
        <f>T30</f>
        <v/>
      </c>
      <c r="U1" s="6" t="str">
        <f>MID(O1,1,190)</f>
        <v xml:space="preserve">
【頑健】　　　　　　初歩                      249
【幸運】　　　　　　初歩                      253
【荷重行動】　　　　初歩                      258
【挑発】　　　　　　初歩                      261
【武器：投擲】　　　初歩                      257</v>
      </c>
      <c r="V1" s="6" t="str">
        <f>MID(O1,191,380)</f>
        <v/>
      </c>
      <c r="W1" s="6" t="str">
        <f>MID(O1,381,570)</f>
        <v/>
      </c>
      <c r="X1" s="6" t="str">
        <f>MID(O1,571,760)</f>
        <v/>
      </c>
    </row>
    <row r="2" spans="2:24">
      <c r="B2" t="s">
        <v>565</v>
      </c>
      <c r="D2" t="s">
        <v>562</v>
      </c>
      <c r="H2" t="s">
        <v>566</v>
      </c>
      <c r="I2" t="s">
        <v>567</v>
      </c>
      <c r="J2" t="s">
        <v>568</v>
      </c>
      <c r="K2" t="s">
        <v>388</v>
      </c>
      <c r="L2" t="s">
        <v>564</v>
      </c>
      <c r="M2" t="s">
        <v>569</v>
      </c>
      <c r="P2" t="s">
        <v>564</v>
      </c>
    </row>
    <row r="3" spans="2:24">
      <c r="C3" t="s">
        <v>570</v>
      </c>
      <c r="D3" t="s">
        <v>571</v>
      </c>
      <c r="E3">
        <f>IF(COUNTIF(一般技能!$H$51:$H$56,C3)=0,0,VLOOKUP(C3,一般技能!$H$51:$J$56,3,FALSE))</f>
        <v>0</v>
      </c>
      <c r="F3">
        <f>IF(COUNTIF(一般技能!$H$59:$H$82,C3)=0,0,VLOOKUP(C3,一般技能!$H$59:$J$82,3,FALSE))</f>
        <v>0</v>
      </c>
      <c r="G3">
        <f>MAX(E3,F3)</f>
        <v>0</v>
      </c>
      <c r="H3" s="18" t="str">
        <f>VLOOKUP(E3,固定値!$AA$2:$AB$7,2,FALSE)</f>
        <v>－－－</v>
      </c>
      <c r="I3" s="18" t="str">
        <f>VLOOKUP(G3,固定値!$AA$2:$AB$7,2,FALSE)</f>
        <v>－－－</v>
      </c>
      <c r="J3">
        <f>VLOOKUP(I3,固定値!$AG$1:$AI$7,IF(H3=ラベル!$G$2,2,3),FALSE)</f>
        <v>0</v>
      </c>
      <c r="K3">
        <f>VLOOKUP(I3,固定値!$AX$2:$AY$7,2,FALSE)</f>
        <v>0</v>
      </c>
      <c r="L3" t="str">
        <f>LEFT(P3,3)</f>
        <v>252</v>
      </c>
      <c r="M3" t="s">
        <v>570</v>
      </c>
      <c r="N3" t="str">
        <f>IF(I3=ラベル!$G$2,"",CHAR(10)&amp;"【"&amp;C3&amp;"】"&amp;REPT("　",11-LEN(C3))&amp;"●　　　　　"&amp;IF(K3&gt;1,"●","○")&amp;"　　　　　"&amp;IF(K3&gt;2,"●","○")&amp;"　　　　　"&amp;IF(K3&gt;3,"●","○")&amp;"　　 　　"&amp;IF(K3&gt;4,"●","○")&amp;"　 ／")</f>
        <v/>
      </c>
      <c r="O3" t="str">
        <f>IF(I3=ラベル!$G$2,"",CHAR(10)&amp;"【"&amp;M3&amp;"】"&amp;REPT("　",8-LEN(M3))&amp;I3&amp;REPT(" ",22)&amp;L3)</f>
        <v/>
      </c>
      <c r="P3" t="s">
        <v>572</v>
      </c>
    </row>
    <row r="4" spans="2:24">
      <c r="C4" t="s">
        <v>166</v>
      </c>
      <c r="D4" t="s">
        <v>571</v>
      </c>
      <c r="E4">
        <f>IF(COUNTIF(一般技能!$H$51:$H$56,C4)=0,0,VLOOKUP(C4,一般技能!$H$51:$J$56,3,FALSE))</f>
        <v>0</v>
      </c>
      <c r="F4">
        <f>IF(COUNTIF(一般技能!$H$59:$H$82,C4)=0,0,VLOOKUP(C4,一般技能!$H$59:$J$82,3,FALSE))</f>
        <v>0</v>
      </c>
      <c r="G4">
        <f t="shared" ref="G4:G67" si="0">MAX(E4,F4)</f>
        <v>0</v>
      </c>
      <c r="H4" s="18" t="str">
        <f>VLOOKUP(E4,固定値!$AA$2:$AB$7,2,FALSE)</f>
        <v>－－－</v>
      </c>
      <c r="I4" s="18" t="str">
        <f>VLOOKUP(G4,固定値!$AA$2:$AB$7,2,FALSE)</f>
        <v>－－－</v>
      </c>
      <c r="J4">
        <f>VLOOKUP(I4,固定値!$AG$1:$AI$7,IF(H4=ラベル!$G$2,2,3),FALSE)</f>
        <v>0</v>
      </c>
      <c r="K4">
        <f>VLOOKUP(I4,固定値!$AX$2:$AY$7,2,FALSE)</f>
        <v>0</v>
      </c>
      <c r="L4" t="str">
        <f t="shared" ref="L4:L67" si="1">LEFT(P4,3)</f>
        <v>253</v>
      </c>
      <c r="M4" t="s">
        <v>166</v>
      </c>
      <c r="N4" t="str">
        <f>IF(I4=ラベル!$G$2,"",CHAR(10)&amp;"【"&amp;C4&amp;"】"&amp;REPT("　",11-LEN(C4))&amp;"●　　　　　"&amp;IF(K4&gt;1,"●","○")&amp;"　　　　　"&amp;IF(K4&gt;2,"●","○")&amp;"　　　　　"&amp;IF(K4&gt;3,"●","○")&amp;"　　 　　"&amp;IF(K4&gt;4,"●","○")&amp;"　 ／")</f>
        <v/>
      </c>
      <c r="O4" t="str">
        <f>IF(I4=ラベル!$G$2,"",CHAR(10)&amp;"【"&amp;M4&amp;"】"&amp;REPT("　",8-LEN(M4))&amp;I4&amp;REPT(" ",22)&amp;L4)</f>
        <v/>
      </c>
      <c r="P4" t="s">
        <v>573</v>
      </c>
    </row>
    <row r="5" spans="2:24">
      <c r="C5" t="s">
        <v>146</v>
      </c>
      <c r="D5" t="s">
        <v>571</v>
      </c>
      <c r="E5">
        <f>IF(COUNTIF(一般技能!$H$51:$H$56,C5)=0,0,VLOOKUP(C5,一般技能!$H$51:$J$56,3,FALSE))</f>
        <v>0</v>
      </c>
      <c r="F5">
        <f>IF(COUNTIF(一般技能!$H$59:$H$82,C5)=0,0,VLOOKUP(C5,一般技能!$H$59:$J$82,3,FALSE))</f>
        <v>0</v>
      </c>
      <c r="G5">
        <f t="shared" si="0"/>
        <v>0</v>
      </c>
      <c r="H5" s="18" t="str">
        <f>VLOOKUP(E5,固定値!$AA$2:$AB$7,2,FALSE)</f>
        <v>－－－</v>
      </c>
      <c r="I5" s="18" t="str">
        <f>VLOOKUP(G5,固定値!$AA$2:$AB$7,2,FALSE)</f>
        <v>－－－</v>
      </c>
      <c r="J5">
        <f>VLOOKUP(I5,固定値!$AG$1:$AI$7,IF(H5=ラベル!$G$2,2,3),FALSE)</f>
        <v>0</v>
      </c>
      <c r="K5">
        <f>VLOOKUP(I5,固定値!$AX$2:$AY$7,2,FALSE)</f>
        <v>0</v>
      </c>
      <c r="L5" t="str">
        <f t="shared" si="1"/>
        <v>254</v>
      </c>
      <c r="M5" t="s">
        <v>146</v>
      </c>
      <c r="N5" t="str">
        <f>IF(I5=ラベル!$G$2,"",CHAR(10)&amp;"【"&amp;C5&amp;"】"&amp;REPT("　",11-LEN(C5))&amp;"●　　　　　"&amp;IF(K5&gt;1,"●","○")&amp;"　　　　　"&amp;IF(K5&gt;2,"●","○")&amp;"　　　　　"&amp;IF(K5&gt;3,"●","○")&amp;"　　 　　"&amp;IF(K5&gt;4,"●","○")&amp;"　 ／")</f>
        <v/>
      </c>
      <c r="O5" t="str">
        <f>IF(I5=ラベル!$G$2,"",CHAR(10)&amp;"【"&amp;M5&amp;"】"&amp;REPT("　",8-LEN(M5))&amp;I5&amp;REPT(" ",22)&amp;L5)</f>
        <v/>
      </c>
      <c r="P5" t="s">
        <v>574</v>
      </c>
    </row>
    <row r="6" spans="2:24">
      <c r="C6" t="s">
        <v>575</v>
      </c>
      <c r="D6" t="s">
        <v>571</v>
      </c>
      <c r="E6">
        <f>IF(COUNTIF(一般技能!$H$51:$H$56,C6)=0,0,VLOOKUP(C6,一般技能!$H$51:$J$56,3,FALSE))</f>
        <v>0</v>
      </c>
      <c r="F6">
        <f>IF(COUNTIF(一般技能!$H$59:$H$82,C6)=0,0,VLOOKUP(C6,一般技能!$H$59:$J$82,3,FALSE))</f>
        <v>1</v>
      </c>
      <c r="G6">
        <f t="shared" si="0"/>
        <v>1</v>
      </c>
      <c r="H6" s="18" t="str">
        <f>VLOOKUP(E6,固定値!$AA$2:$AB$7,2,FALSE)</f>
        <v>－－－</v>
      </c>
      <c r="I6" s="18" t="str">
        <f>VLOOKUP(G6,固定値!$AA$2:$AB$7,2,FALSE)</f>
        <v>初歩</v>
      </c>
      <c r="J6">
        <f>VLOOKUP(I6,固定値!$AG$1:$AI$7,IF(H6=ラベル!$G$2,2,3),FALSE)</f>
        <v>5</v>
      </c>
      <c r="K6">
        <f>VLOOKUP(I6,固定値!$AX$2:$AY$7,2,FALSE)</f>
        <v>1</v>
      </c>
      <c r="L6" t="str">
        <f t="shared" si="1"/>
        <v>249</v>
      </c>
      <c r="M6" t="s">
        <v>575</v>
      </c>
      <c r="N6" t="str">
        <f>IF(I6=ラベル!$G$2,"",CHAR(10)&amp;"【"&amp;C6&amp;"】"&amp;REPT("　",11-LEN(C6))&amp;"●　　　　　"&amp;IF(K6&gt;1,"●","○")&amp;"　　　　　"&amp;IF(K6&gt;2,"●","○")&amp;"　　　　　"&amp;IF(K6&gt;3,"●","○")&amp;"　　 　　"&amp;IF(K6&gt;4,"●","○")&amp;"　 ／")</f>
        <v xml:space="preserve">
【頑健】　　　　　　　　　●　　　　　○　　　　　○　　　　　○　　 　　○　 ／</v>
      </c>
      <c r="O6" t="str">
        <f>IF(I6=ラベル!$G$2,"",CHAR(10)&amp;"【"&amp;M6&amp;"】"&amp;REPT("　",8-LEN(M6))&amp;I6&amp;REPT(" ",22)&amp;L6)</f>
        <v xml:space="preserve">
【頑健】　　　　　　初歩                      249</v>
      </c>
      <c r="P6" t="s">
        <v>576</v>
      </c>
    </row>
    <row r="7" spans="2:24">
      <c r="C7" t="s">
        <v>478</v>
      </c>
      <c r="D7" t="s">
        <v>571</v>
      </c>
      <c r="E7">
        <f>IF(COUNTIF(一般技能!$H$51:$H$56,C7)=0,0,VLOOKUP(C7,一般技能!$H$51:$J$56,3,FALSE))</f>
        <v>0</v>
      </c>
      <c r="F7">
        <f>IF(COUNTIF(一般技能!$H$59:$H$82,C7)=0,0,VLOOKUP(C7,一般技能!$H$59:$J$82,3,FALSE))</f>
        <v>0</v>
      </c>
      <c r="G7">
        <f t="shared" si="0"/>
        <v>0</v>
      </c>
      <c r="H7" s="18" t="str">
        <f>VLOOKUP(E7,固定値!$AA$2:$AB$7,2,FALSE)</f>
        <v>－－－</v>
      </c>
      <c r="I7" s="18" t="str">
        <f>VLOOKUP(G7,固定値!$AA$2:$AB$7,2,FALSE)</f>
        <v>－－－</v>
      </c>
      <c r="J7">
        <f>VLOOKUP(I7,固定値!$AG$1:$AI$7,IF(H7=ラベル!$G$2,2,3),FALSE)</f>
        <v>0</v>
      </c>
      <c r="K7">
        <f>VLOOKUP(I7,固定値!$AX$2:$AY$7,2,FALSE)</f>
        <v>0</v>
      </c>
      <c r="L7" t="str">
        <f t="shared" si="1"/>
        <v>254</v>
      </c>
      <c r="M7" t="s">
        <v>478</v>
      </c>
      <c r="N7" t="str">
        <f>IF(I7=ラベル!$G$2,"",CHAR(10)&amp;"【"&amp;C7&amp;"】"&amp;REPT("　",11-LEN(C7))&amp;"●　　　　　"&amp;IF(K7&gt;1,"●","○")&amp;"　　　　　"&amp;IF(K7&gt;2,"●","○")&amp;"　　　　　"&amp;IF(K7&gt;3,"●","○")&amp;"　　 　　"&amp;IF(K7&gt;4,"●","○")&amp;"　 ／")</f>
        <v/>
      </c>
      <c r="O7" t="str">
        <f>IF(I7=ラベル!$G$2,"",CHAR(10)&amp;"【"&amp;M7&amp;"】"&amp;REPT("　",8-LEN(M7))&amp;I7&amp;REPT(" ",22)&amp;L7)</f>
        <v/>
      </c>
      <c r="P7" t="s">
        <v>574</v>
      </c>
    </row>
    <row r="8" spans="2:24">
      <c r="C8" t="s">
        <v>257</v>
      </c>
      <c r="D8" t="s">
        <v>571</v>
      </c>
      <c r="E8">
        <f>IF(COUNTIF(一般技能!$H$51:$H$56,C8)=0,0,VLOOKUP(C8,一般技能!$H$51:$J$56,3,FALSE))</f>
        <v>0</v>
      </c>
      <c r="F8">
        <f>IF(COUNTIF(一般技能!$H$59:$H$82,C8)=0,0,VLOOKUP(C8,一般技能!$H$59:$J$82,3,FALSE))</f>
        <v>0</v>
      </c>
      <c r="G8">
        <f t="shared" si="0"/>
        <v>0</v>
      </c>
      <c r="H8" s="18" t="str">
        <f>VLOOKUP(E8,固定値!$AA$2:$AB$7,2,FALSE)</f>
        <v>－－－</v>
      </c>
      <c r="I8" s="18" t="str">
        <f>VLOOKUP(G8,固定値!$AA$2:$AB$7,2,FALSE)</f>
        <v>－－－</v>
      </c>
      <c r="J8">
        <f>VLOOKUP(I8,固定値!$AG$1:$AI$7,IF(H8=ラベル!$G$2,2,3),FALSE)</f>
        <v>0</v>
      </c>
      <c r="K8">
        <f>VLOOKUP(I8,固定値!$AX$2:$AY$7,2,FALSE)</f>
        <v>0</v>
      </c>
      <c r="L8" t="str">
        <f t="shared" si="1"/>
        <v>249</v>
      </c>
      <c r="M8" t="s">
        <v>257</v>
      </c>
      <c r="N8" t="str">
        <f>IF(I8=ラベル!$G$2,"",CHAR(10)&amp;"【"&amp;C8&amp;"】"&amp;REPT("　",11-LEN(C8))&amp;"●　　　　　"&amp;IF(K8&gt;1,"●","○")&amp;"　　　　　"&amp;IF(K8&gt;2,"●","○")&amp;"　　　　　"&amp;IF(K8&gt;3,"●","○")&amp;"　　 　　"&amp;IF(K8&gt;4,"●","○")&amp;"　 ／")</f>
        <v/>
      </c>
      <c r="O8" t="str">
        <f>IF(I8=ラベル!$G$2,"",CHAR(10)&amp;"【"&amp;M8&amp;"】"&amp;REPT("　",8-LEN(M8))&amp;I8&amp;REPT(" ",22)&amp;L8)</f>
        <v/>
      </c>
      <c r="P8" t="s">
        <v>576</v>
      </c>
    </row>
    <row r="9" spans="2:24">
      <c r="C9" t="s">
        <v>577</v>
      </c>
      <c r="D9" t="s">
        <v>571</v>
      </c>
      <c r="E9">
        <f>IF(COUNTIF(一般技能!$H$51:$H$56,C9)=0,0,VLOOKUP(C9,一般技能!$H$51:$J$56,3,FALSE))</f>
        <v>1</v>
      </c>
      <c r="F9">
        <f>IF(COUNTIF(一般技能!$H$59:$H$82,C9)=0,0,VLOOKUP(C9,一般技能!$H$59:$J$82,3,FALSE))</f>
        <v>0</v>
      </c>
      <c r="G9">
        <f t="shared" si="0"/>
        <v>1</v>
      </c>
      <c r="H9" s="18" t="str">
        <f>VLOOKUP(E9,固定値!$AA$2:$AB$7,2,FALSE)</f>
        <v>初歩</v>
      </c>
      <c r="I9" s="18" t="str">
        <f>VLOOKUP(G9,固定値!$AA$2:$AB$7,2,FALSE)</f>
        <v>初歩</v>
      </c>
      <c r="J9">
        <f>VLOOKUP(I9,固定値!$AG$1:$AI$7,IF(H9=ラベル!$G$2,2,3),FALSE)</f>
        <v>0</v>
      </c>
      <c r="K9">
        <f>VLOOKUP(I9,固定値!$AX$2:$AY$7,2,FALSE)</f>
        <v>1</v>
      </c>
      <c r="L9" t="str">
        <f t="shared" si="1"/>
        <v>253</v>
      </c>
      <c r="M9" t="s">
        <v>577</v>
      </c>
      <c r="N9" t="str">
        <f>IF(I9=ラベル!$G$2,"",CHAR(10)&amp;"【"&amp;C9&amp;"】"&amp;REPT("　",11-LEN(C9))&amp;"●　　　　　"&amp;IF(K9&gt;1,"●","○")&amp;"　　　　　"&amp;IF(K9&gt;2,"●","○")&amp;"　　　　　"&amp;IF(K9&gt;3,"●","○")&amp;"　　 　　"&amp;IF(K9&gt;4,"●","○")&amp;"　 ／")</f>
        <v xml:space="preserve">
【幸運】　　　　　　　　　●　　　　　○　　　　　○　　　　　○　　 　　○　 ／</v>
      </c>
      <c r="O9" t="str">
        <f>IF(I9=ラベル!$G$2,"",CHAR(10)&amp;"【"&amp;M9&amp;"】"&amp;REPT("　",8-LEN(M9))&amp;I9&amp;REPT(" ",22)&amp;L9)</f>
        <v xml:space="preserve">
【幸運】　　　　　　初歩                      253</v>
      </c>
      <c r="P9" t="s">
        <v>573</v>
      </c>
    </row>
    <row r="10" spans="2:24">
      <c r="C10" t="s">
        <v>160</v>
      </c>
      <c r="D10" t="s">
        <v>571</v>
      </c>
      <c r="E10">
        <f>IF(COUNTIF(一般技能!$H$51:$H$56,C10)=0,0,VLOOKUP(C10,一般技能!$H$51:$J$56,3,FALSE))</f>
        <v>0</v>
      </c>
      <c r="F10">
        <f>IF(COUNTIF(一般技能!$H$59:$H$82,C10)=0,0,VLOOKUP(C10,一般技能!$H$59:$J$82,3,FALSE))</f>
        <v>0</v>
      </c>
      <c r="G10">
        <f t="shared" si="0"/>
        <v>0</v>
      </c>
      <c r="H10" s="18" t="str">
        <f>VLOOKUP(E10,固定値!$AA$2:$AB$7,2,FALSE)</f>
        <v>－－－</v>
      </c>
      <c r="I10" s="18" t="str">
        <f>VLOOKUP(G10,固定値!$AA$2:$AB$7,2,FALSE)</f>
        <v>－－－</v>
      </c>
      <c r="J10">
        <f>VLOOKUP(I10,固定値!$AG$1:$AI$7,IF(H10=ラベル!$G$2,2,3),FALSE)</f>
        <v>0</v>
      </c>
      <c r="K10">
        <f>VLOOKUP(I10,固定値!$AX$2:$AY$7,2,FALSE)</f>
        <v>0</v>
      </c>
      <c r="L10" t="str">
        <f t="shared" si="1"/>
        <v>250</v>
      </c>
      <c r="M10" t="s">
        <v>160</v>
      </c>
      <c r="N10" t="str">
        <f>IF(I10=ラベル!$G$2,"",CHAR(10)&amp;"【"&amp;C10&amp;"】"&amp;REPT("　",11-LEN(C10))&amp;"●　　　　　"&amp;IF(K10&gt;1,"●","○")&amp;"　　　　　"&amp;IF(K10&gt;2,"●","○")&amp;"　　　　　"&amp;IF(K10&gt;3,"●","○")&amp;"　　 　　"&amp;IF(K10&gt;4,"●","○")&amp;"　 ／")</f>
        <v/>
      </c>
      <c r="O10" t="str">
        <f>IF(I10=ラベル!$G$2,"",CHAR(10)&amp;"【"&amp;M10&amp;"】"&amp;REPT("　",8-LEN(M10))&amp;I10&amp;REPT(" ",22)&amp;L10)</f>
        <v/>
      </c>
      <c r="P10" t="s">
        <v>578</v>
      </c>
    </row>
    <row r="11" spans="2:24">
      <c r="C11" t="s">
        <v>579</v>
      </c>
      <c r="D11" t="s">
        <v>571</v>
      </c>
      <c r="E11">
        <f>IF(COUNTIF(一般技能!$H$51:$H$56,C11)=0,0,VLOOKUP(C11,一般技能!$H$51:$J$56,3,FALSE))</f>
        <v>0</v>
      </c>
      <c r="F11">
        <f>IF(COUNTIF(一般技能!$H$59:$H$82,C11)=0,0,VLOOKUP(C11,一般技能!$H$59:$J$82,3,FALSE))</f>
        <v>0</v>
      </c>
      <c r="G11">
        <f t="shared" si="0"/>
        <v>0</v>
      </c>
      <c r="H11" s="18" t="str">
        <f>VLOOKUP(E11,固定値!$AA$2:$AB$7,2,FALSE)</f>
        <v>－－－</v>
      </c>
      <c r="I11" s="18" t="str">
        <f>VLOOKUP(G11,固定値!$AA$2:$AB$7,2,FALSE)</f>
        <v>－－－</v>
      </c>
      <c r="J11">
        <f>VLOOKUP(I11,固定値!$AG$1:$AI$7,IF(H11=ラベル!$G$2,2,3),FALSE)</f>
        <v>0</v>
      </c>
      <c r="K11">
        <f>VLOOKUP(I11,固定値!$AX$2:$AY$7,2,FALSE)</f>
        <v>0</v>
      </c>
      <c r="L11" t="str">
        <f t="shared" si="1"/>
        <v>251</v>
      </c>
      <c r="M11" t="s">
        <v>579</v>
      </c>
      <c r="N11" t="str">
        <f>IF(I11=ラベル!$G$2,"",CHAR(10)&amp;"【"&amp;C11&amp;"】"&amp;REPT("　",11-LEN(C11))&amp;"●　　　　　"&amp;IF(K11&gt;1,"●","○")&amp;"　　　　　"&amp;IF(K11&gt;2,"●","○")&amp;"　　　　　"&amp;IF(K11&gt;3,"●","○")&amp;"　　 　　"&amp;IF(K11&gt;4,"●","○")&amp;"　 ／")</f>
        <v/>
      </c>
      <c r="O11" t="str">
        <f>IF(I11=ラベル!$G$2,"",CHAR(10)&amp;"【"&amp;M11&amp;"】"&amp;REPT("　",8-LEN(M11))&amp;I11&amp;REPT(" ",22)&amp;L11)</f>
        <v/>
      </c>
      <c r="P11" t="s">
        <v>580</v>
      </c>
    </row>
    <row r="12" spans="2:24">
      <c r="C12" t="s">
        <v>162</v>
      </c>
      <c r="D12" t="s">
        <v>571</v>
      </c>
      <c r="E12">
        <f>IF(COUNTIF(一般技能!$H$51:$H$56,C12)=0,0,VLOOKUP(C12,一般技能!$H$51:$J$56,3,FALSE))</f>
        <v>0</v>
      </c>
      <c r="F12">
        <f>IF(COUNTIF(一般技能!$H$59:$H$82,C12)=0,0,VLOOKUP(C12,一般技能!$H$59:$J$82,3,FALSE))</f>
        <v>0</v>
      </c>
      <c r="G12">
        <f t="shared" si="0"/>
        <v>0</v>
      </c>
      <c r="H12" s="18" t="str">
        <f>VLOOKUP(E12,固定値!$AA$2:$AB$7,2,FALSE)</f>
        <v>－－－</v>
      </c>
      <c r="I12" s="18" t="str">
        <f>VLOOKUP(G12,固定値!$AA$2:$AB$7,2,FALSE)</f>
        <v>－－－</v>
      </c>
      <c r="J12">
        <f>VLOOKUP(I12,固定値!$AG$1:$AI$7,IF(H12=ラベル!$G$2,2,3),FALSE)</f>
        <v>0</v>
      </c>
      <c r="K12">
        <f>VLOOKUP(I12,固定値!$AX$2:$AY$7,2,FALSE)</f>
        <v>0</v>
      </c>
      <c r="L12" t="str">
        <f t="shared" si="1"/>
        <v>255</v>
      </c>
      <c r="M12" t="s">
        <v>162</v>
      </c>
      <c r="N12" t="str">
        <f>IF(I12=ラベル!$G$2,"",CHAR(10)&amp;"【"&amp;C12&amp;"】"&amp;REPT("　",11-LEN(C12))&amp;"●　　　　　"&amp;IF(K12&gt;1,"●","○")&amp;"　　　　　"&amp;IF(K12&gt;2,"●","○")&amp;"　　　　　"&amp;IF(K12&gt;3,"●","○")&amp;"　　 　　"&amp;IF(K12&gt;4,"●","○")&amp;"　 ／")</f>
        <v/>
      </c>
      <c r="O12" t="str">
        <f>IF(I12=ラベル!$G$2,"",CHAR(10)&amp;"【"&amp;M12&amp;"】"&amp;REPT("　",8-LEN(M12))&amp;I12&amp;REPT(" ",22)&amp;L12)</f>
        <v/>
      </c>
      <c r="P12" t="s">
        <v>581</v>
      </c>
    </row>
    <row r="13" spans="2:24">
      <c r="C13" t="s">
        <v>582</v>
      </c>
      <c r="D13" t="s">
        <v>571</v>
      </c>
      <c r="E13">
        <f>IF(COUNTIF(一般技能!$H$51:$H$56,C13)=0,0,VLOOKUP(C13,一般技能!$H$51:$J$56,3,FALSE))</f>
        <v>0</v>
      </c>
      <c r="F13">
        <f>IF(COUNTIF(一般技能!$H$59:$H$82,C13)=0,0,VLOOKUP(C13,一般技能!$H$59:$J$82,3,FALSE))</f>
        <v>0</v>
      </c>
      <c r="G13">
        <f t="shared" si="0"/>
        <v>0</v>
      </c>
      <c r="H13" s="18" t="str">
        <f>VLOOKUP(E13,固定値!$AA$2:$AB$7,2,FALSE)</f>
        <v>－－－</v>
      </c>
      <c r="I13" s="18" t="str">
        <f>VLOOKUP(G13,固定値!$AA$2:$AB$7,2,FALSE)</f>
        <v>－－－</v>
      </c>
      <c r="J13">
        <f>VLOOKUP(I13,固定値!$AG$1:$AI$7,IF(H13=ラベル!$G$2,2,3),FALSE)</f>
        <v>0</v>
      </c>
      <c r="K13">
        <f>VLOOKUP(I13,固定値!$AX$2:$AY$7,2,FALSE)</f>
        <v>0</v>
      </c>
      <c r="L13" t="str">
        <f t="shared" si="1"/>
        <v>250</v>
      </c>
      <c r="M13" t="s">
        <v>582</v>
      </c>
      <c r="N13" t="str">
        <f>IF(I13=ラベル!$G$2,"",CHAR(10)&amp;"【"&amp;C13&amp;"】"&amp;REPT("　",11-LEN(C13))&amp;"●　　　　　"&amp;IF(K13&gt;1,"●","○")&amp;"　　　　　"&amp;IF(K13&gt;2,"●","○")&amp;"　　　　　"&amp;IF(K13&gt;3,"●","○")&amp;"　　 　　"&amp;IF(K13&gt;4,"●","○")&amp;"　 ／")</f>
        <v/>
      </c>
      <c r="O13" t="str">
        <f>IF(I13=ラベル!$G$2,"",CHAR(10)&amp;"【"&amp;M13&amp;"】"&amp;REPT("　",8-LEN(M13))&amp;I13&amp;REPT(" ",22)&amp;L13)</f>
        <v/>
      </c>
      <c r="P13" t="s">
        <v>578</v>
      </c>
    </row>
    <row r="14" spans="2:24">
      <c r="C14" t="s">
        <v>475</v>
      </c>
      <c r="D14" t="s">
        <v>571</v>
      </c>
      <c r="E14">
        <f>IF(COUNTIF(一般技能!$H$51:$H$56,C14)=0,0,VLOOKUP(C14,一般技能!$H$51:$J$56,3,FALSE))</f>
        <v>0</v>
      </c>
      <c r="F14">
        <f>IF(COUNTIF(一般技能!$H$59:$H$82,C14)=0,0,VLOOKUP(C14,一般技能!$H$59:$J$82,3,FALSE))</f>
        <v>0</v>
      </c>
      <c r="G14">
        <f t="shared" si="0"/>
        <v>0</v>
      </c>
      <c r="H14" s="18" t="str">
        <f>VLOOKUP(E14,固定値!$AA$2:$AB$7,2,FALSE)</f>
        <v>－－－</v>
      </c>
      <c r="I14" s="18" t="str">
        <f>VLOOKUP(G14,固定値!$AA$2:$AB$7,2,FALSE)</f>
        <v>－－－</v>
      </c>
      <c r="J14">
        <f>VLOOKUP(I14,固定値!$AG$1:$AI$7,IF(H14=ラベル!$G$2,2,3),FALSE)</f>
        <v>0</v>
      </c>
      <c r="K14">
        <f>VLOOKUP(I14,固定値!$AX$2:$AY$7,2,FALSE)</f>
        <v>0</v>
      </c>
      <c r="L14" t="str">
        <f t="shared" si="1"/>
        <v>255</v>
      </c>
      <c r="M14" t="s">
        <v>475</v>
      </c>
      <c r="N14" t="str">
        <f>IF(I14=ラベル!$G$2,"",CHAR(10)&amp;"【"&amp;C14&amp;"】"&amp;REPT("　",11-LEN(C14))&amp;"●　　　　　"&amp;IF(K14&gt;1,"●","○")&amp;"　　　　　"&amp;IF(K14&gt;2,"●","○")&amp;"　　　　　"&amp;IF(K14&gt;3,"●","○")&amp;"　　 　　"&amp;IF(K14&gt;4,"●","○")&amp;"　 ／")</f>
        <v/>
      </c>
      <c r="O14" t="str">
        <f>IF(I14=ラベル!$G$2,"",CHAR(10)&amp;"【"&amp;M14&amp;"】"&amp;REPT("　",8-LEN(M14))&amp;I14&amp;REPT(" ",22)&amp;L14)</f>
        <v/>
      </c>
      <c r="P14" t="s">
        <v>581</v>
      </c>
    </row>
    <row r="15" spans="2:24">
      <c r="C15" t="s">
        <v>583</v>
      </c>
      <c r="D15" t="s">
        <v>571</v>
      </c>
      <c r="E15">
        <f>IF(COUNTIF(一般技能!$H$51:$H$56,C15)=0,0,VLOOKUP(C15,一般技能!$H$51:$J$56,3,FALSE))</f>
        <v>0</v>
      </c>
      <c r="F15">
        <f>IF(COUNTIF(一般技能!$H$59:$H$82,C15)=0,0,VLOOKUP(C15,一般技能!$H$59:$J$82,3,FALSE))</f>
        <v>0</v>
      </c>
      <c r="G15">
        <f t="shared" si="0"/>
        <v>0</v>
      </c>
      <c r="H15" s="18" t="str">
        <f>VLOOKUP(E15,固定値!$AA$2:$AB$7,2,FALSE)</f>
        <v>－－－</v>
      </c>
      <c r="I15" s="18" t="str">
        <f>VLOOKUP(G15,固定値!$AA$2:$AB$7,2,FALSE)</f>
        <v>－－－</v>
      </c>
      <c r="J15">
        <f>VLOOKUP(I15,固定値!$AG$1:$AI$7,IF(H15=ラベル!$G$2,2,3),FALSE)</f>
        <v>0</v>
      </c>
      <c r="K15">
        <f>VLOOKUP(I15,固定値!$AX$2:$AY$7,2,FALSE)</f>
        <v>0</v>
      </c>
      <c r="L15" t="str">
        <f t="shared" si="1"/>
        <v>250</v>
      </c>
      <c r="M15" t="s">
        <v>583</v>
      </c>
      <c r="N15" t="str">
        <f>IF(I15=ラベル!$G$2,"",CHAR(10)&amp;"【"&amp;C15&amp;"】"&amp;REPT("　",11-LEN(C15))&amp;"●　　　　　"&amp;IF(K15&gt;1,"●","○")&amp;"　　　　　"&amp;IF(K15&gt;2,"●","○")&amp;"　　　　　"&amp;IF(K15&gt;3,"●","○")&amp;"　　 　　"&amp;IF(K15&gt;4,"●","○")&amp;"　 ／")</f>
        <v/>
      </c>
      <c r="O15" t="str">
        <f>IF(I15=ラベル!$G$2,"",CHAR(10)&amp;"【"&amp;M15&amp;"】"&amp;REPT("　",8-LEN(M15))&amp;I15&amp;REPT(" ",22)&amp;L15)</f>
        <v/>
      </c>
      <c r="P15" t="s">
        <v>578</v>
      </c>
    </row>
    <row r="16" spans="2:24">
      <c r="C16" t="s">
        <v>467</v>
      </c>
      <c r="D16" t="s">
        <v>571</v>
      </c>
      <c r="E16">
        <f>IF(COUNTIF(一般技能!$H$51:$H$56,C16)=0,0,VLOOKUP(C16,一般技能!$H$51:$J$56,3,FALSE))</f>
        <v>0</v>
      </c>
      <c r="F16">
        <f>IF(COUNTIF(一般技能!$H$59:$H$82,C16)=0,0,VLOOKUP(C16,一般技能!$H$59:$J$82,3,FALSE))</f>
        <v>0</v>
      </c>
      <c r="G16">
        <f t="shared" si="0"/>
        <v>0</v>
      </c>
      <c r="H16" s="18" t="str">
        <f>VLOOKUP(E16,固定値!$AA$2:$AB$7,2,FALSE)</f>
        <v>－－－</v>
      </c>
      <c r="I16" s="18" t="str">
        <f>VLOOKUP(G16,固定値!$AA$2:$AB$7,2,FALSE)</f>
        <v>－－－</v>
      </c>
      <c r="J16">
        <f>VLOOKUP(I16,固定値!$AG$1:$AI$7,IF(H16=ラベル!$G$2,2,3),FALSE)</f>
        <v>0</v>
      </c>
      <c r="K16">
        <f>VLOOKUP(I16,固定値!$AX$2:$AY$7,2,FALSE)</f>
        <v>0</v>
      </c>
      <c r="L16" t="str">
        <f t="shared" si="1"/>
        <v>255</v>
      </c>
      <c r="M16" t="s">
        <v>467</v>
      </c>
      <c r="N16" t="str">
        <f>IF(I16=ラベル!$G$2,"",CHAR(10)&amp;"【"&amp;C16&amp;"】"&amp;REPT("　",11-LEN(C16))&amp;"●　　　　　"&amp;IF(K16&gt;1,"●","○")&amp;"　　　　　"&amp;IF(K16&gt;2,"●","○")&amp;"　　　　　"&amp;IF(K16&gt;3,"●","○")&amp;"　　 　　"&amp;IF(K16&gt;4,"●","○")&amp;"　 ／")</f>
        <v/>
      </c>
      <c r="O16" t="str">
        <f>IF(I16=ラベル!$G$2,"",CHAR(10)&amp;"【"&amp;M16&amp;"】"&amp;REPT("　",8-LEN(M16))&amp;I16&amp;REPT(" ",22)&amp;L16)</f>
        <v/>
      </c>
      <c r="P16" t="s">
        <v>581</v>
      </c>
    </row>
    <row r="17" spans="3:26">
      <c r="C17" t="s">
        <v>390</v>
      </c>
      <c r="D17" t="s">
        <v>584</v>
      </c>
      <c r="E17">
        <f>IF(COUNTIF(一般技能!$H$51:$H$56,C17)=0,0,VLOOKUP(C17,一般技能!$H$51:$J$56,3,FALSE))</f>
        <v>0</v>
      </c>
      <c r="F17">
        <f>IF(COUNTIF(一般技能!$H$59:$H$82,C17)=0,0,VLOOKUP(C17,一般技能!$H$59:$J$82,3,FALSE))</f>
        <v>0</v>
      </c>
      <c r="G17">
        <f t="shared" si="0"/>
        <v>0</v>
      </c>
      <c r="H17" s="18" t="str">
        <f>VLOOKUP(E17,固定値!$AA$2:$AB$7,2,FALSE)</f>
        <v>－－－</v>
      </c>
      <c r="I17" s="18" t="str">
        <f>VLOOKUP(G17,固定値!$AA$2:$AB$7,2,FALSE)</f>
        <v>－－－</v>
      </c>
      <c r="J17">
        <f>VLOOKUP(I17,固定値!$AG$1:$AI$7,IF(H17=ラベル!$G$2,2,3),FALSE)</f>
        <v>0</v>
      </c>
      <c r="K17">
        <f>VLOOKUP(I17,固定値!$AX$2:$AY$7,2,FALSE)</f>
        <v>0</v>
      </c>
      <c r="L17" t="str">
        <f t="shared" si="1"/>
        <v>261</v>
      </c>
      <c r="M17" t="s">
        <v>390</v>
      </c>
      <c r="N17" t="str">
        <f>IF(I17=ラベル!$G$2,"",CHAR(10)&amp;"【"&amp;C17&amp;"】"&amp;REPT("　",11-LEN(C17))&amp;"●　　　　　"&amp;IF(K17&gt;1,"●","○")&amp;"　　　　　"&amp;IF(K17&gt;2,"●","○")&amp;"　　　　　"&amp;IF(K17&gt;3,"●","○")&amp;"　　 　　"&amp;IF(K17&gt;4,"●","○")&amp;"　 ／")</f>
        <v/>
      </c>
      <c r="O17" t="str">
        <f>IF(I17=ラベル!$G$2,"",CHAR(10)&amp;"【"&amp;M17&amp;"】"&amp;REPT("　",8-LEN(M17))&amp;I17&amp;REPT(" ",22)&amp;L17)</f>
        <v/>
      </c>
      <c r="P17" t="s">
        <v>585</v>
      </c>
    </row>
    <row r="18" spans="3:26">
      <c r="C18" t="s">
        <v>470</v>
      </c>
      <c r="D18" t="s">
        <v>584</v>
      </c>
      <c r="E18">
        <f>IF(COUNTIF(一般技能!$H$51:$H$56,C18)=0,0,VLOOKUP(C18,一般技能!$H$51:$J$56,3,FALSE))</f>
        <v>1</v>
      </c>
      <c r="F18">
        <f>IF(COUNTIF(一般技能!$H$59:$H$82,C18)=0,0,VLOOKUP(C18,一般技能!$H$59:$J$82,3,FALSE))</f>
        <v>0</v>
      </c>
      <c r="G18">
        <f t="shared" si="0"/>
        <v>1</v>
      </c>
      <c r="H18" s="18" t="str">
        <f>VLOOKUP(E18,固定値!$AA$2:$AB$7,2,FALSE)</f>
        <v>初歩</v>
      </c>
      <c r="I18" s="18" t="str">
        <f>VLOOKUP(G18,固定値!$AA$2:$AB$7,2,FALSE)</f>
        <v>初歩</v>
      </c>
      <c r="J18">
        <f>VLOOKUP(I18,固定値!$AG$1:$AI$7,IF(H18=ラベル!$G$2,2,3),FALSE)</f>
        <v>0</v>
      </c>
      <c r="K18">
        <f>VLOOKUP(I18,固定値!$AX$2:$AY$7,2,FALSE)</f>
        <v>1</v>
      </c>
      <c r="L18" t="str">
        <f t="shared" si="1"/>
        <v>258</v>
      </c>
      <c r="M18" t="s">
        <v>470</v>
      </c>
      <c r="N18" t="str">
        <f>IF(I18=ラベル!$G$2,"",CHAR(10)&amp;"【"&amp;C18&amp;"】"&amp;REPT("　",11-LEN(C18))&amp;"●　　　　　"&amp;IF(K18&gt;1,"●","○")&amp;"　　　　　"&amp;IF(K18&gt;2,"●","○")&amp;"　　　　　"&amp;IF(K18&gt;3,"●","○")&amp;"　　 　　"&amp;IF(K18&gt;4,"●","○")&amp;"　 ／")</f>
        <v xml:space="preserve">
【荷重行動】　　　　　　　●　　　　　○　　　　　○　　　　　○　　 　　○　 ／</v>
      </c>
      <c r="O18" t="str">
        <f>IF(I18=ラベル!$G$2,"",CHAR(10)&amp;"【"&amp;M18&amp;"】"&amp;REPT("　",8-LEN(M18))&amp;I18&amp;REPT(" ",22)&amp;L18)</f>
        <v xml:space="preserve">
【荷重行動】　　　　初歩                      258</v>
      </c>
      <c r="P18" t="s">
        <v>586</v>
      </c>
    </row>
    <row r="19" spans="3:26">
      <c r="C19" t="s">
        <v>587</v>
      </c>
      <c r="D19" t="s">
        <v>584</v>
      </c>
      <c r="E19">
        <f>IF(COUNTIF(一般技能!$H$51:$H$56,C19)=0,0,VLOOKUP(C19,一般技能!$H$51:$J$56,3,FALSE))</f>
        <v>0</v>
      </c>
      <c r="F19">
        <f>IF(COUNTIF(一般技能!$H$59:$H$82,C19)=0,0,VLOOKUP(C19,一般技能!$H$59:$J$82,3,FALSE))</f>
        <v>0</v>
      </c>
      <c r="G19">
        <f t="shared" si="0"/>
        <v>0</v>
      </c>
      <c r="H19" s="18" t="str">
        <f>VLOOKUP(E19,固定値!$AA$2:$AB$7,2,FALSE)</f>
        <v>－－－</v>
      </c>
      <c r="I19" s="18" t="str">
        <f>VLOOKUP(G19,固定値!$AA$2:$AB$7,2,FALSE)</f>
        <v>－－－</v>
      </c>
      <c r="J19">
        <f>VLOOKUP(I19,固定値!$AG$1:$AI$7,IF(H19=ラベル!$G$2,2,3),FALSE)</f>
        <v>0</v>
      </c>
      <c r="K19">
        <f>VLOOKUP(I19,固定値!$AX$2:$AY$7,2,FALSE)</f>
        <v>0</v>
      </c>
      <c r="L19" t="str">
        <f t="shared" si="1"/>
        <v>262</v>
      </c>
      <c r="M19" t="s">
        <v>587</v>
      </c>
      <c r="N19" t="str">
        <f>IF(I19=ラベル!$G$2,"",CHAR(10)&amp;"【"&amp;C19&amp;"】"&amp;REPT("　",11-LEN(C19))&amp;"●　　　　　"&amp;IF(K19&gt;1,"●","○")&amp;"　　　　　"&amp;IF(K19&gt;2,"●","○")&amp;"　　　　　"&amp;IF(K19&gt;3,"●","○")&amp;"　　 　　"&amp;IF(K19&gt;4,"●","○")&amp;"　 ／")</f>
        <v/>
      </c>
      <c r="O19" t="str">
        <f>IF(I19=ラベル!$G$2,"",CHAR(10)&amp;"【"&amp;M19&amp;"】"&amp;REPT("　",8-LEN(M19))&amp;I19&amp;REPT(" ",22)&amp;L19)</f>
        <v/>
      </c>
      <c r="P19" t="s">
        <v>588</v>
      </c>
      <c r="R19" t="str">
        <f>IF(I19=ラベル!$G$2,"",CHAR(10)&amp;"【"&amp;M19&amp;"("&amp;I19&amp;")】")</f>
        <v/>
      </c>
      <c r="U19">
        <f>IF(K19=0,-1,INDEX(V19:Z19,K19))</f>
        <v>-1</v>
      </c>
      <c r="V19">
        <f>ROUNDUP(能力値!G4/4,0)</f>
        <v>1</v>
      </c>
      <c r="W19">
        <f>ROUNDUP(能力値!G4/2,0)</f>
        <v>2</v>
      </c>
      <c r="X19">
        <f>ROUNDUP(能力値!G4*1,0)</f>
        <v>3</v>
      </c>
      <c r="Y19">
        <f>ROUNDUP(能力値!G4*1.5,0)</f>
        <v>5</v>
      </c>
      <c r="Z19">
        <f>ROUNDUP(能力値!G4*2,0)</f>
        <v>6</v>
      </c>
    </row>
    <row r="20" spans="3:26">
      <c r="C20" t="s">
        <v>589</v>
      </c>
      <c r="D20" t="s">
        <v>584</v>
      </c>
      <c r="E20">
        <f>IF(COUNTIF(一般技能!$H$51:$H$56,C20)=0,0,VLOOKUP(C20,一般技能!$H$51:$J$56,3,FALSE))</f>
        <v>0</v>
      </c>
      <c r="F20">
        <f>IF(COUNTIF(一般技能!$H$59:$H$82,C20)=0,0,VLOOKUP(C20,一般技能!$H$59:$J$82,3,FALSE))</f>
        <v>0</v>
      </c>
      <c r="G20">
        <f t="shared" si="0"/>
        <v>0</v>
      </c>
      <c r="H20" s="18" t="str">
        <f>VLOOKUP(E20,固定値!$AA$2:$AB$7,2,FALSE)</f>
        <v>－－－</v>
      </c>
      <c r="I20" s="18" t="str">
        <f>VLOOKUP(G20,固定値!$AA$2:$AB$7,2,FALSE)</f>
        <v>－－－</v>
      </c>
      <c r="J20">
        <f>VLOOKUP(I20,固定値!$AG$1:$AI$7,IF(H20=ラベル!$G$2,2,3),FALSE)</f>
        <v>0</v>
      </c>
      <c r="K20">
        <f>VLOOKUP(I20,固定値!$AX$2:$AY$7,2,FALSE)</f>
        <v>0</v>
      </c>
      <c r="L20" t="str">
        <f t="shared" si="1"/>
        <v>263</v>
      </c>
      <c r="M20" t="s">
        <v>589</v>
      </c>
      <c r="N20" t="str">
        <f>IF(I20=ラベル!$G$2,"",CHAR(10)&amp;"【"&amp;C20&amp;"】"&amp;REPT("　",11-LEN(C20))&amp;"●　　　　　"&amp;IF(K20&gt;1,"●","○")&amp;"　　　　　"&amp;IF(K20&gt;2,"●","○")&amp;"　　　　　"&amp;IF(K20&gt;3,"●","○")&amp;"　　 　　"&amp;IF(K20&gt;4,"●","○")&amp;"　 ／")</f>
        <v/>
      </c>
      <c r="O20" t="str">
        <f>IF(I20=ラベル!$G$2,"",CHAR(10)&amp;"【"&amp;M20&amp;"】"&amp;REPT("　",8-LEN(M20))&amp;I20&amp;REPT(" ",22)&amp;L20)</f>
        <v/>
      </c>
      <c r="P20" t="s">
        <v>590</v>
      </c>
      <c r="R20" t="str">
        <f>IF(I20=ラベル!$G$2,"",CHAR(10)&amp;"【"&amp;M20&amp;"("&amp;I20&amp;")】")</f>
        <v/>
      </c>
      <c r="U20">
        <f>IF(K20=0,-1,INDEX(V20:Z20,K20))</f>
        <v>-1</v>
      </c>
      <c r="V20">
        <f>ROUNDUP(能力値!G4/4,0)</f>
        <v>1</v>
      </c>
      <c r="W20">
        <f>ROUNDUP(能力値!G4/2,0)</f>
        <v>2</v>
      </c>
      <c r="X20">
        <f>ROUNDUP(能力値!G4*1,0)</f>
        <v>3</v>
      </c>
      <c r="Y20">
        <f>ROUNDUP(能力値!G4*1.5,0)</f>
        <v>5</v>
      </c>
      <c r="Z20">
        <f>ROUNDUP(能力値!G4*2,0)</f>
        <v>6</v>
      </c>
    </row>
    <row r="21" spans="3:26">
      <c r="C21" t="s">
        <v>591</v>
      </c>
      <c r="D21" t="s">
        <v>584</v>
      </c>
      <c r="E21">
        <f>IF(COUNTIF(一般技能!$H$51:$H$56,C21)=0,0,VLOOKUP(C21,一般技能!$H$51:$J$56,3,FALSE))</f>
        <v>0</v>
      </c>
      <c r="F21">
        <f>IF(COUNTIF(一般技能!$H$59:$H$82,C21)=0,0,VLOOKUP(C21,一般技能!$H$59:$J$82,3,FALSE))</f>
        <v>0</v>
      </c>
      <c r="G21">
        <f t="shared" si="0"/>
        <v>0</v>
      </c>
      <c r="H21" s="18" t="str">
        <f>VLOOKUP(E21,固定値!$AA$2:$AB$7,2,FALSE)</f>
        <v>－－－</v>
      </c>
      <c r="I21" s="18" t="str">
        <f>VLOOKUP(G21,固定値!$AA$2:$AB$7,2,FALSE)</f>
        <v>－－－</v>
      </c>
      <c r="J21">
        <f>VLOOKUP(I21,固定値!$AG$1:$AI$7,IF(H21=ラベル!$G$2,2,3),FALSE)</f>
        <v>0</v>
      </c>
      <c r="K21">
        <f>VLOOKUP(I21,固定値!$AX$2:$AY$7,2,FALSE)</f>
        <v>0</v>
      </c>
      <c r="L21" t="str">
        <f t="shared" si="1"/>
        <v>266</v>
      </c>
      <c r="M21" t="s">
        <v>591</v>
      </c>
      <c r="N21" t="str">
        <f>IF(I21=ラベル!$G$2,"",CHAR(10)&amp;"【"&amp;C21&amp;"】"&amp;REPT("　",11-LEN(C21))&amp;"●　　　　　"&amp;IF(K21&gt;1,"●","○")&amp;"　　　　　"&amp;IF(K21&gt;2,"●","○")&amp;"　　　　　"&amp;IF(K21&gt;3,"●","○")&amp;"　　 　　"&amp;IF(K21&gt;4,"●","○")&amp;"　 ／")</f>
        <v/>
      </c>
      <c r="O21" t="str">
        <f>IF(I21=ラベル!$G$2,"",CHAR(10)&amp;"【"&amp;M21&amp;"】"&amp;REPT("　",8-LEN(M21))&amp;I21&amp;REPT(" ",22)&amp;L21)</f>
        <v/>
      </c>
      <c r="P21" t="s">
        <v>592</v>
      </c>
    </row>
    <row r="22" spans="3:26">
      <c r="C22" t="s">
        <v>593</v>
      </c>
      <c r="D22" t="s">
        <v>584</v>
      </c>
      <c r="E22">
        <f>IF(COUNTIF(一般技能!$H$51:$H$56,C22)=0,0,VLOOKUP(C22,一般技能!$H$51:$J$56,3,FALSE))</f>
        <v>0</v>
      </c>
      <c r="F22">
        <f>IF(COUNTIF(一般技能!$H$59:$H$82,C22)=0,0,VLOOKUP(C22,一般技能!$H$59:$J$82,3,FALSE))</f>
        <v>0</v>
      </c>
      <c r="G22">
        <f t="shared" si="0"/>
        <v>0</v>
      </c>
      <c r="H22" s="18" t="str">
        <f>VLOOKUP(E22,固定値!$AA$2:$AB$7,2,FALSE)</f>
        <v>－－－</v>
      </c>
      <c r="I22" s="18" t="str">
        <f>VLOOKUP(G22,固定値!$AA$2:$AB$7,2,FALSE)</f>
        <v>－－－</v>
      </c>
      <c r="J22">
        <f>VLOOKUP(I22,固定値!$AG$1:$AI$7,IF(H22=ラベル!$G$2,2,3),FALSE)</f>
        <v>0</v>
      </c>
      <c r="K22">
        <f>VLOOKUP(I22,固定値!$AX$2:$AY$7,2,FALSE)</f>
        <v>0</v>
      </c>
      <c r="L22" t="str">
        <f t="shared" si="1"/>
        <v>264</v>
      </c>
      <c r="M22" t="s">
        <v>593</v>
      </c>
      <c r="N22" t="str">
        <f>IF(I22=ラベル!$G$2,"",CHAR(10)&amp;"【"&amp;C22&amp;"】"&amp;REPT("　",11-LEN(C22))&amp;"●　　　　　"&amp;IF(K22&gt;1,"●","○")&amp;"　　　　　"&amp;IF(K22&gt;2,"●","○")&amp;"　　　　　"&amp;IF(K22&gt;3,"●","○")&amp;"　　 　　"&amp;IF(K22&gt;4,"●","○")&amp;"　 ／")</f>
        <v/>
      </c>
      <c r="O22" t="str">
        <f>IF(I22=ラベル!$G$2,"",CHAR(10)&amp;"【"&amp;M22&amp;"】"&amp;REPT("　",8-LEN(M22))&amp;I22&amp;REPT(" ",22)&amp;L22)</f>
        <v/>
      </c>
      <c r="P22" t="s">
        <v>594</v>
      </c>
    </row>
    <row r="23" spans="3:26">
      <c r="C23" t="s">
        <v>595</v>
      </c>
      <c r="D23" t="s">
        <v>584</v>
      </c>
      <c r="E23">
        <f>IF(COUNTIF(一般技能!$H$51:$H$56,C23)=0,0,VLOOKUP(C23,一般技能!$H$51:$J$56,3,FALSE))</f>
        <v>0</v>
      </c>
      <c r="F23">
        <f>IF(COUNTIF(一般技能!$H$59:$H$82,C23)=0,0,VLOOKUP(C23,一般技能!$H$59:$J$82,3,FALSE))</f>
        <v>0</v>
      </c>
      <c r="G23">
        <f t="shared" si="0"/>
        <v>0</v>
      </c>
      <c r="H23" s="18" t="str">
        <f>VLOOKUP(E23,固定値!$AA$2:$AB$7,2,FALSE)</f>
        <v>－－－</v>
      </c>
      <c r="I23" s="18" t="str">
        <f>VLOOKUP(G23,固定値!$AA$2:$AB$7,2,FALSE)</f>
        <v>－－－</v>
      </c>
      <c r="J23">
        <f>VLOOKUP(I23,固定値!$AG$1:$AI$7,IF(H23=ラベル!$G$2,2,3),FALSE)</f>
        <v>0</v>
      </c>
      <c r="K23">
        <f>VLOOKUP(I23,固定値!$AX$2:$AY$7,2,FALSE)</f>
        <v>0</v>
      </c>
      <c r="L23" t="str">
        <f t="shared" si="1"/>
        <v>264</v>
      </c>
      <c r="M23" t="s">
        <v>595</v>
      </c>
      <c r="N23" t="str">
        <f>IF(I23=ラベル!$G$2,"",CHAR(10)&amp;"【"&amp;C23&amp;"】"&amp;REPT("　",11-LEN(C23))&amp;"●　　　　　"&amp;IF(K23&gt;1,"●","○")&amp;"　　　　　"&amp;IF(K23&gt;2,"●","○")&amp;"　　　　　"&amp;IF(K23&gt;3,"●","○")&amp;"　　 　　"&amp;IF(K23&gt;4,"●","○")&amp;"　 ／")</f>
        <v/>
      </c>
      <c r="O23" t="str">
        <f>IF(I23=ラベル!$G$2,"",CHAR(10)&amp;"【"&amp;M23&amp;"】"&amp;REPT("　",8-LEN(M23))&amp;I23&amp;REPT(" ",22)&amp;L23)</f>
        <v/>
      </c>
      <c r="P23" t="s">
        <v>594</v>
      </c>
    </row>
    <row r="24" spans="3:26">
      <c r="C24" t="s">
        <v>596</v>
      </c>
      <c r="D24" t="s">
        <v>584</v>
      </c>
      <c r="E24">
        <f>IF(COUNTIF(一般技能!$H$51:$H$56,C24)=0,0,VLOOKUP(C24,一般技能!$H$51:$J$56,3,FALSE))</f>
        <v>0</v>
      </c>
      <c r="F24">
        <f>IF(COUNTIF(一般技能!$H$59:$H$82,C24)=0,0,VLOOKUP(C24,一般技能!$H$59:$J$82,3,FALSE))</f>
        <v>0</v>
      </c>
      <c r="G24">
        <f t="shared" si="0"/>
        <v>0</v>
      </c>
      <c r="H24" s="18" t="str">
        <f>VLOOKUP(E24,固定値!$AA$2:$AB$7,2,FALSE)</f>
        <v>－－－</v>
      </c>
      <c r="I24" s="18" t="str">
        <f>VLOOKUP(G24,固定値!$AA$2:$AB$7,2,FALSE)</f>
        <v>－－－</v>
      </c>
      <c r="J24">
        <f>VLOOKUP(I24,固定値!$AG$1:$AI$7,IF(H24=ラベル!$G$2,2,3),FALSE)</f>
        <v>0</v>
      </c>
      <c r="K24">
        <f>VLOOKUP(I24,固定値!$AX$2:$AY$7,2,FALSE)</f>
        <v>0</v>
      </c>
      <c r="L24" t="str">
        <f t="shared" si="1"/>
        <v>259</v>
      </c>
      <c r="M24" t="s">
        <v>596</v>
      </c>
      <c r="N24" t="str">
        <f>IF(I24=ラベル!$G$2,"",CHAR(10)&amp;"【"&amp;C24&amp;"】"&amp;REPT("　",11-LEN(C24))&amp;"●　　　　　"&amp;IF(K24&gt;1,"●","○")&amp;"　　　　　"&amp;IF(K24&gt;2,"●","○")&amp;"　　　　　"&amp;IF(K24&gt;3,"●","○")&amp;"　　 　　"&amp;IF(K24&gt;4,"●","○")&amp;"　 ／")</f>
        <v/>
      </c>
      <c r="O24" t="str">
        <f>IF(I24=ラベル!$G$2,"",CHAR(10)&amp;"【"&amp;M24&amp;"】"&amp;REPT("　",8-LEN(M24))&amp;I24&amp;REPT(" ",22)&amp;L24)</f>
        <v/>
      </c>
      <c r="P24" t="s">
        <v>597</v>
      </c>
    </row>
    <row r="25" spans="3:26">
      <c r="C25" t="s">
        <v>598</v>
      </c>
      <c r="D25" t="s">
        <v>584</v>
      </c>
      <c r="E25">
        <f>IF(COUNTIF(一般技能!$H$51:$H$56,C25)=0,0,VLOOKUP(C25,一般技能!$H$51:$J$56,3,FALSE))</f>
        <v>0</v>
      </c>
      <c r="F25">
        <f>IF(COUNTIF(一般技能!$H$59:$H$82,C25)=0,0,VLOOKUP(C25,一般技能!$H$59:$J$82,3,FALSE))</f>
        <v>0</v>
      </c>
      <c r="G25">
        <f t="shared" si="0"/>
        <v>0</v>
      </c>
      <c r="H25" s="18" t="str">
        <f>VLOOKUP(E25,固定値!$AA$2:$AB$7,2,FALSE)</f>
        <v>－－－</v>
      </c>
      <c r="I25" s="18" t="str">
        <f>VLOOKUP(G25,固定値!$AA$2:$AB$7,2,FALSE)</f>
        <v>－－－</v>
      </c>
      <c r="J25">
        <f>VLOOKUP(I25,固定値!$AG$1:$AI$7,IF(H25=ラベル!$G$2,2,3),FALSE)</f>
        <v>0</v>
      </c>
      <c r="K25">
        <f>VLOOKUP(I25,固定値!$AX$2:$AY$7,2,FALSE)</f>
        <v>0</v>
      </c>
      <c r="L25" t="str">
        <f t="shared" si="1"/>
        <v>267</v>
      </c>
      <c r="M25" t="s">
        <v>598</v>
      </c>
      <c r="N25" t="str">
        <f>IF(I25=ラベル!$G$2,"",CHAR(10)&amp;"【"&amp;C25&amp;"】"&amp;REPT("　",11-LEN(C25))&amp;"●　　　　　"&amp;IF(K25&gt;1,"●","○")&amp;"　　　　　"&amp;IF(K25&gt;2,"●","○")&amp;"　　　　　"&amp;IF(K25&gt;3,"●","○")&amp;"　　 　　"&amp;IF(K25&gt;4,"●","○")&amp;"　 ／")</f>
        <v/>
      </c>
      <c r="O25" t="str">
        <f>IF(I25=ラベル!$G$2,"",CHAR(10)&amp;"【"&amp;M25&amp;"】"&amp;REPT("　",8-LEN(M25))&amp;I25&amp;REPT(" ",22)&amp;L25)</f>
        <v/>
      </c>
      <c r="P25" t="s">
        <v>599</v>
      </c>
    </row>
    <row r="26" spans="3:26">
      <c r="C26" t="s">
        <v>600</v>
      </c>
      <c r="D26" t="s">
        <v>584</v>
      </c>
      <c r="E26">
        <f>IF(COUNTIF(一般技能!$H$51:$H$56,C26)=0,0,VLOOKUP(C26,一般技能!$H$51:$J$56,3,FALSE))</f>
        <v>0</v>
      </c>
      <c r="F26">
        <f>IF(COUNTIF(一般技能!$H$59:$H$82,C26)=0,0,VLOOKUP(C26,一般技能!$H$59:$J$82,3,FALSE))</f>
        <v>0</v>
      </c>
      <c r="G26">
        <f t="shared" si="0"/>
        <v>0</v>
      </c>
      <c r="H26" s="18" t="str">
        <f>VLOOKUP(E26,固定値!$AA$2:$AB$7,2,FALSE)</f>
        <v>－－－</v>
      </c>
      <c r="I26" s="18" t="str">
        <f>VLOOKUP(G26,固定値!$AA$2:$AB$7,2,FALSE)</f>
        <v>－－－</v>
      </c>
      <c r="J26">
        <f>VLOOKUP(I26,固定値!$AG$1:$AI$7,IF(H26=ラベル!$G$2,2,3),FALSE)</f>
        <v>0</v>
      </c>
      <c r="K26">
        <f>VLOOKUP(I26,固定値!$AX$2:$AY$7,2,FALSE)</f>
        <v>0</v>
      </c>
      <c r="L26" t="str">
        <f t="shared" si="1"/>
        <v>263</v>
      </c>
      <c r="M26" t="s">
        <v>600</v>
      </c>
      <c r="N26" t="str">
        <f>IF(I26=ラベル!$G$2,"",CHAR(10)&amp;"【"&amp;C26&amp;"】"&amp;REPT("　",11-LEN(C26))&amp;"●　　　　　"&amp;IF(K26&gt;1,"●","○")&amp;"　　　　　"&amp;IF(K26&gt;2,"●","○")&amp;"　　　　　"&amp;IF(K26&gt;3,"●","○")&amp;"　　 　　"&amp;IF(K26&gt;4,"●","○")&amp;"　 ／")</f>
        <v/>
      </c>
      <c r="O26" t="str">
        <f>IF(I26=ラベル!$G$2,"",CHAR(10)&amp;"【"&amp;M26&amp;"】"&amp;REPT("　",8-LEN(M26))&amp;I26&amp;REPT(" ",22)&amp;L26)</f>
        <v/>
      </c>
      <c r="P26" t="s">
        <v>590</v>
      </c>
      <c r="R26" t="str">
        <f>IF(I26=ラベル!$G$2,"",CHAR(10)&amp;"【"&amp;M26&amp;"("&amp;I26&amp;")】")</f>
        <v/>
      </c>
      <c r="U26">
        <f>IF(K26=0,-1,INDEX(V26:Z26,K26))</f>
        <v>-1</v>
      </c>
      <c r="V26">
        <v>1</v>
      </c>
      <c r="W26">
        <v>2</v>
      </c>
      <c r="X26">
        <v>3</v>
      </c>
      <c r="Y26">
        <v>4</v>
      </c>
      <c r="Z26">
        <v>5</v>
      </c>
    </row>
    <row r="27" spans="3:26">
      <c r="C27" t="s">
        <v>601</v>
      </c>
      <c r="D27" t="s">
        <v>584</v>
      </c>
      <c r="E27">
        <f>IF(COUNTIF(一般技能!$H$51:$H$56,C27)=0,0,VLOOKUP(C27,一般技能!$H$51:$J$56,3,FALSE))</f>
        <v>0</v>
      </c>
      <c r="F27">
        <f>IF(COUNTIF(一般技能!$H$59:$H$82,C27)=0,0,VLOOKUP(C27,一般技能!$H$59:$J$82,3,FALSE))</f>
        <v>0</v>
      </c>
      <c r="G27">
        <f t="shared" si="0"/>
        <v>0</v>
      </c>
      <c r="H27" s="18" t="str">
        <f>VLOOKUP(E27,固定値!$AA$2:$AB$7,2,FALSE)</f>
        <v>－－－</v>
      </c>
      <c r="I27" s="18" t="str">
        <f>VLOOKUP(G27,固定値!$AA$2:$AB$7,2,FALSE)</f>
        <v>－－－</v>
      </c>
      <c r="J27">
        <f>VLOOKUP(I27,固定値!$AG$1:$AI$7,IF(H27=ラベル!$G$2,2,3),FALSE)</f>
        <v>0</v>
      </c>
      <c r="K27">
        <f>VLOOKUP(I27,固定値!$AX$2:$AY$7,2,FALSE)</f>
        <v>0</v>
      </c>
      <c r="L27" t="str">
        <f t="shared" si="1"/>
        <v>268</v>
      </c>
      <c r="M27" t="s">
        <v>601</v>
      </c>
      <c r="N27" t="str">
        <f>IF(I27=ラベル!$G$2,"",CHAR(10)&amp;"【"&amp;C27&amp;"】"&amp;REPT("　",11-LEN(C27))&amp;"●　　　　　"&amp;IF(K27&gt;1,"●","○")&amp;"　　　　　"&amp;IF(K27&gt;2,"●","○")&amp;"　　　　　"&amp;IF(K27&gt;3,"●","○")&amp;"　　 　　"&amp;IF(K27&gt;4,"●","○")&amp;"　 ／")</f>
        <v/>
      </c>
      <c r="O27" t="str">
        <f>IF(I27=ラベル!$G$2,"",CHAR(10)&amp;"【"&amp;M27&amp;"】"&amp;REPT("　",8-LEN(M27))&amp;I27&amp;REPT(" ",22)&amp;L27)</f>
        <v/>
      </c>
      <c r="P27" t="s">
        <v>602</v>
      </c>
    </row>
    <row r="28" spans="3:26">
      <c r="C28" t="s">
        <v>603</v>
      </c>
      <c r="D28" t="s">
        <v>584</v>
      </c>
      <c r="E28">
        <f>IF(COUNTIF(一般技能!$H$51:$H$56,C28)=0,0,VLOOKUP(C28,一般技能!$H$51:$J$56,3,FALSE))</f>
        <v>0</v>
      </c>
      <c r="F28">
        <f>IF(COUNTIF(一般技能!$H$59:$H$82,C28)=0,0,VLOOKUP(C28,一般技能!$H$59:$J$82,3,FALSE))</f>
        <v>0</v>
      </c>
      <c r="G28">
        <f t="shared" si="0"/>
        <v>0</v>
      </c>
      <c r="H28" s="18" t="str">
        <f>VLOOKUP(E28,固定値!$AA$2:$AB$7,2,FALSE)</f>
        <v>－－－</v>
      </c>
      <c r="I28" s="18" t="str">
        <f>VLOOKUP(G28,固定値!$AA$2:$AB$7,2,FALSE)</f>
        <v>－－－</v>
      </c>
      <c r="J28">
        <f>VLOOKUP(I28,固定値!$AG$1:$AI$7,IF(H28=ラベル!$G$2,2,3),FALSE)</f>
        <v>0</v>
      </c>
      <c r="K28">
        <f>VLOOKUP(I28,固定値!$AX$2:$AY$7,2,FALSE)</f>
        <v>0</v>
      </c>
      <c r="L28" t="str">
        <f t="shared" si="1"/>
        <v>265</v>
      </c>
      <c r="M28" t="s">
        <v>603</v>
      </c>
      <c r="N28" t="str">
        <f>IF(I28=ラベル!$G$2,"",CHAR(10)&amp;"【"&amp;C28&amp;"】"&amp;REPT("　",11-LEN(C28))&amp;"●　　　　　"&amp;IF(K28&gt;1,"●","○")&amp;"　　　　　"&amp;IF(K28&gt;2,"●","○")&amp;"　　　　　"&amp;IF(K28&gt;3,"●","○")&amp;"　　 　　"&amp;IF(K28&gt;4,"●","○")&amp;"　 ／")</f>
        <v/>
      </c>
      <c r="O28" t="str">
        <f>IF(I28=ラベル!$G$2,"",CHAR(10)&amp;"【"&amp;M28&amp;"】"&amp;REPT("　",8-LEN(M28))&amp;I28&amp;REPT(" ",22)&amp;L28)</f>
        <v/>
      </c>
      <c r="P28" t="s">
        <v>604</v>
      </c>
    </row>
    <row r="29" spans="3:26">
      <c r="C29" t="s">
        <v>471</v>
      </c>
      <c r="D29" t="s">
        <v>584</v>
      </c>
      <c r="E29">
        <f>IF(COUNTIF(一般技能!$H$51:$H$56,C29)=0,0,VLOOKUP(C29,一般技能!$H$51:$J$56,3,FALSE))</f>
        <v>0</v>
      </c>
      <c r="F29">
        <f>IF(COUNTIF(一般技能!$H$59:$H$82,C29)=0,0,VLOOKUP(C29,一般技能!$H$59:$J$82,3,FALSE))</f>
        <v>0</v>
      </c>
      <c r="G29">
        <f t="shared" si="0"/>
        <v>0</v>
      </c>
      <c r="H29" s="18" t="str">
        <f>VLOOKUP(E29,固定値!$AA$2:$AB$7,2,FALSE)</f>
        <v>－－－</v>
      </c>
      <c r="I29" s="18" t="str">
        <f>VLOOKUP(G29,固定値!$AA$2:$AB$7,2,FALSE)</f>
        <v>－－－</v>
      </c>
      <c r="J29">
        <f>VLOOKUP(I29,固定値!$AG$1:$AI$7,IF(H29=ラベル!$G$2,2,3),FALSE)</f>
        <v>0</v>
      </c>
      <c r="K29">
        <f>VLOOKUP(I29,固定値!$AX$2:$AY$7,2,FALSE)</f>
        <v>0</v>
      </c>
      <c r="L29" t="str">
        <f t="shared" si="1"/>
        <v>258</v>
      </c>
      <c r="M29" t="s">
        <v>471</v>
      </c>
      <c r="N29" t="str">
        <f>IF(I29=ラベル!$G$2,"",CHAR(10)&amp;"【"&amp;C29&amp;"】"&amp;REPT("　",11-LEN(C29))&amp;"●　　　　　"&amp;IF(K29&gt;1,"●","○")&amp;"　　　　　"&amp;IF(K29&gt;2,"●","○")&amp;"　　　　　"&amp;IF(K29&gt;3,"●","○")&amp;"　　 　　"&amp;IF(K29&gt;4,"●","○")&amp;"　 ／")</f>
        <v/>
      </c>
      <c r="O29" t="str">
        <f>IF(I29=ラベル!$G$2,"",CHAR(10)&amp;"【"&amp;M29&amp;"】"&amp;REPT("　",8-LEN(M29))&amp;I29&amp;REPT(" ",22)&amp;L29)</f>
        <v/>
      </c>
      <c r="P29" t="s">
        <v>586</v>
      </c>
      <c r="S29" t="str">
        <f>IF(I29=ラベル!$F$2,"","【"&amp;M29&amp;"】"&amp;"+"&amp;K29)</f>
        <v/>
      </c>
    </row>
    <row r="30" spans="3:26">
      <c r="C30" t="s">
        <v>124</v>
      </c>
      <c r="D30" t="s">
        <v>584</v>
      </c>
      <c r="E30">
        <f>IF(COUNTIF(一般技能!$H$51:$H$56,C30)=0,0,VLOOKUP(C30,一般技能!$H$51:$J$56,3,FALSE))</f>
        <v>0</v>
      </c>
      <c r="F30">
        <f>IF(COUNTIF(一般技能!$H$59:$H$82,C30)=0,0,VLOOKUP(C30,一般技能!$H$59:$J$82,3,FALSE))</f>
        <v>0</v>
      </c>
      <c r="G30">
        <f t="shared" si="0"/>
        <v>0</v>
      </c>
      <c r="H30" s="18" t="str">
        <f>VLOOKUP(E30,固定値!$AA$2:$AB$7,2,FALSE)</f>
        <v>－－－</v>
      </c>
      <c r="I30" s="18" t="str">
        <f>VLOOKUP(G30,固定値!$AA$2:$AB$7,2,FALSE)</f>
        <v>－－－</v>
      </c>
      <c r="J30">
        <f>VLOOKUP(I30,固定値!$AG$1:$AI$7,IF(H30=ラベル!$G$2,2,3),FALSE)</f>
        <v>0</v>
      </c>
      <c r="K30">
        <f>VLOOKUP(I30,固定値!$AX$2:$AY$7,2,FALSE)</f>
        <v>0</v>
      </c>
      <c r="L30" t="str">
        <f t="shared" si="1"/>
        <v>258</v>
      </c>
      <c r="M30" t="s">
        <v>124</v>
      </c>
      <c r="N30" t="str">
        <f>IF(I30=ラベル!$G$2,"",CHAR(10)&amp;"【"&amp;C30&amp;"】"&amp;REPT("　",11-LEN(C30))&amp;"●　　　　　"&amp;IF(K30&gt;1,"●","○")&amp;"　　　　　"&amp;IF(K30&gt;2,"●","○")&amp;"　　　　　"&amp;IF(K30&gt;3,"●","○")&amp;"　　 　　"&amp;IF(K30&gt;4,"●","○")&amp;"　 ／")</f>
        <v/>
      </c>
      <c r="O30" t="str">
        <f>IF(I30=ラベル!$G$2,"",CHAR(10)&amp;"【"&amp;M30&amp;"】"&amp;REPT("　",8-LEN(M30))&amp;I30&amp;REPT(" ",22)&amp;L30)</f>
        <v/>
      </c>
      <c r="P30" t="s">
        <v>586</v>
      </c>
      <c r="T30" t="str">
        <f>IF(I30=ラベル!$F$2,"","【"&amp;M30&amp;"】"&amp;"+"&amp;K30)</f>
        <v/>
      </c>
    </row>
    <row r="31" spans="3:26">
      <c r="C31" t="s">
        <v>482</v>
      </c>
      <c r="D31" t="s">
        <v>584</v>
      </c>
      <c r="E31">
        <f>IF(COUNTIF(一般技能!$H$51:$H$56,C31)=0,0,VLOOKUP(C31,一般技能!$H$51:$J$56,3,FALSE))</f>
        <v>0</v>
      </c>
      <c r="F31">
        <f>IF(COUNTIF(一般技能!$H$59:$H$82,C31)=0,0,VLOOKUP(C31,一般技能!$H$59:$J$82,3,FALSE))</f>
        <v>1</v>
      </c>
      <c r="G31">
        <f t="shared" si="0"/>
        <v>1</v>
      </c>
      <c r="H31" s="18" t="str">
        <f>VLOOKUP(E31,固定値!$AA$2:$AB$7,2,FALSE)</f>
        <v>－－－</v>
      </c>
      <c r="I31" s="18" t="str">
        <f>VLOOKUP(G31,固定値!$AA$2:$AB$7,2,FALSE)</f>
        <v>初歩</v>
      </c>
      <c r="J31">
        <f>VLOOKUP(I31,固定値!$AG$1:$AI$7,IF(H31=ラベル!$G$2,2,3),FALSE)</f>
        <v>5</v>
      </c>
      <c r="K31">
        <f>VLOOKUP(I31,固定値!$AX$2:$AY$7,2,FALSE)</f>
        <v>1</v>
      </c>
      <c r="L31" t="str">
        <f t="shared" si="1"/>
        <v>261</v>
      </c>
      <c r="M31" t="s">
        <v>482</v>
      </c>
      <c r="N31" t="str">
        <f>IF(I31=ラベル!$G$2,"",CHAR(10)&amp;"【"&amp;C31&amp;"】"&amp;REPT("　",11-LEN(C31))&amp;"●　　　　　"&amp;IF(K31&gt;1,"●","○")&amp;"　　　　　"&amp;IF(K31&gt;2,"●","○")&amp;"　　　　　"&amp;IF(K31&gt;3,"●","○")&amp;"　　 　　"&amp;IF(K31&gt;4,"●","○")&amp;"　 ／")</f>
        <v xml:space="preserve">
【挑発】　　　　　　　　　●　　　　　○　　　　　○　　　　　○　　 　　○　 ／</v>
      </c>
      <c r="O31" t="str">
        <f>IF(I31=ラベル!$G$2,"",CHAR(10)&amp;"【"&amp;M31&amp;"】"&amp;REPT("　",8-LEN(M31))&amp;I31&amp;REPT(" ",22)&amp;L31)</f>
        <v xml:space="preserve">
【挑発】　　　　　　初歩                      261</v>
      </c>
      <c r="P31" t="s">
        <v>585</v>
      </c>
    </row>
    <row r="32" spans="3:26">
      <c r="C32" t="s">
        <v>605</v>
      </c>
      <c r="D32" t="s">
        <v>584</v>
      </c>
      <c r="E32">
        <f>IF(COUNTIF(一般技能!$H$51:$H$56,C32)=0,0,VLOOKUP(C32,一般技能!$H$51:$J$56,3,FALSE))</f>
        <v>0</v>
      </c>
      <c r="F32">
        <f>IF(COUNTIF(一般技能!$H$59:$H$82,C32)=0,0,VLOOKUP(C32,一般技能!$H$59:$J$82,3,FALSE))</f>
        <v>0</v>
      </c>
      <c r="G32">
        <f t="shared" si="0"/>
        <v>0</v>
      </c>
      <c r="H32" s="18" t="str">
        <f>VLOOKUP(E32,固定値!$AA$2:$AB$7,2,FALSE)</f>
        <v>－－－</v>
      </c>
      <c r="I32" s="18" t="str">
        <f>VLOOKUP(G32,固定値!$AA$2:$AB$7,2,FALSE)</f>
        <v>－－－</v>
      </c>
      <c r="J32">
        <f>VLOOKUP(I32,固定値!$AG$1:$AI$7,IF(H32=ラベル!$G$2,2,3),FALSE)</f>
        <v>0</v>
      </c>
      <c r="K32">
        <f>VLOOKUP(I32,固定値!$AX$2:$AY$7,2,FALSE)</f>
        <v>0</v>
      </c>
      <c r="L32" t="str">
        <f t="shared" si="1"/>
        <v>269</v>
      </c>
      <c r="M32" t="s">
        <v>605</v>
      </c>
      <c r="N32" t="str">
        <f>IF(I32=ラベル!$G$2,"",CHAR(10)&amp;"【"&amp;C32&amp;"】"&amp;REPT("　",11-LEN(C32))&amp;"●　　　　　"&amp;IF(K32&gt;1,"●","○")&amp;"　　　　　"&amp;IF(K32&gt;2,"●","○")&amp;"　　　　　"&amp;IF(K32&gt;3,"●","○")&amp;"　　 　　"&amp;IF(K32&gt;4,"●","○")&amp;"　 ／")</f>
        <v/>
      </c>
      <c r="O32" t="str">
        <f>IF(I32=ラベル!$G$2,"",CHAR(10)&amp;"【"&amp;M32&amp;"】"&amp;REPT("　",8-LEN(M32))&amp;I32&amp;REPT(" ",22)&amp;L32)</f>
        <v/>
      </c>
      <c r="P32" t="s">
        <v>606</v>
      </c>
      <c r="U32">
        <f>IF(K32=0,-1,INDEX(V32:Z32,K32))</f>
        <v>-1</v>
      </c>
      <c r="V32">
        <v>1</v>
      </c>
      <c r="W32">
        <v>2</v>
      </c>
      <c r="X32">
        <v>4</v>
      </c>
      <c r="Y32">
        <v>6</v>
      </c>
      <c r="Z32">
        <v>8</v>
      </c>
    </row>
    <row r="33" spans="3:26">
      <c r="C33" t="s">
        <v>484</v>
      </c>
      <c r="D33" t="s">
        <v>584</v>
      </c>
      <c r="E33">
        <f>IF(COUNTIF(一般技能!$H$51:$H$56,C33)=0,0,VLOOKUP(C33,一般技能!$H$51:$J$56,3,FALSE))</f>
        <v>0</v>
      </c>
      <c r="F33">
        <f>IF(COUNTIF(一般技能!$H$59:$H$82,C33)=0,0,VLOOKUP(C33,一般技能!$H$59:$J$82,3,FALSE))</f>
        <v>0</v>
      </c>
      <c r="G33">
        <f t="shared" si="0"/>
        <v>0</v>
      </c>
      <c r="H33" s="18" t="str">
        <f>VLOOKUP(E33,固定値!$AA$2:$AB$7,2,FALSE)</f>
        <v>－－－</v>
      </c>
      <c r="I33" s="18" t="str">
        <f>VLOOKUP(G33,固定値!$AA$2:$AB$7,2,FALSE)</f>
        <v>－－－</v>
      </c>
      <c r="J33">
        <f>VLOOKUP(I33,固定値!$AG$1:$AI$7,IF(H33=ラベル!$G$2,2,3),FALSE)</f>
        <v>0</v>
      </c>
      <c r="K33">
        <f>VLOOKUP(I33,固定値!$AX$2:$AY$7,2,FALSE)</f>
        <v>0</v>
      </c>
      <c r="L33" t="str">
        <f t="shared" si="1"/>
        <v>260</v>
      </c>
      <c r="M33" t="s">
        <v>484</v>
      </c>
      <c r="N33" t="str">
        <f>IF(I33=ラベル!$G$2,"",CHAR(10)&amp;"【"&amp;C33&amp;"】"&amp;REPT("　",11-LEN(C33))&amp;"●　　　　　"&amp;IF(K33&gt;1,"●","○")&amp;"　　　　　"&amp;IF(K33&gt;2,"●","○")&amp;"　　　　　"&amp;IF(K33&gt;3,"●","○")&amp;"　　 　　"&amp;IF(K33&gt;4,"●","○")&amp;"　 ／")</f>
        <v/>
      </c>
      <c r="O33" t="str">
        <f>IF(I33=ラベル!$G$2,"",CHAR(10)&amp;"【"&amp;M33&amp;"】"&amp;REPT("　",8-LEN(M33))&amp;I33&amp;REPT(" ",22)&amp;L33)</f>
        <v/>
      </c>
      <c r="P33" t="s">
        <v>607</v>
      </c>
    </row>
    <row r="34" spans="3:26">
      <c r="C34" t="s">
        <v>608</v>
      </c>
      <c r="D34" t="s">
        <v>584</v>
      </c>
      <c r="E34">
        <f>IF(COUNTIF(一般技能!$H$51:$H$56,C34)=0,0,VLOOKUP(C34,一般技能!$H$51:$J$56,3,FALSE))</f>
        <v>0</v>
      </c>
      <c r="F34">
        <f>IF(COUNTIF(一般技能!$H$59:$H$82,C34)=0,0,VLOOKUP(C34,一般技能!$H$59:$J$82,3,FALSE))</f>
        <v>0</v>
      </c>
      <c r="G34">
        <f t="shared" si="0"/>
        <v>0</v>
      </c>
      <c r="H34" s="18" t="str">
        <f>VLOOKUP(E34,固定値!$AA$2:$AB$7,2,FALSE)</f>
        <v>－－－</v>
      </c>
      <c r="I34" s="18" t="str">
        <f>VLOOKUP(G34,固定値!$AA$2:$AB$7,2,FALSE)</f>
        <v>－－－</v>
      </c>
      <c r="J34">
        <f>VLOOKUP(I34,固定値!$AG$1:$AI$7,IF(H34=ラベル!$G$2,2,3),FALSE)</f>
        <v>0</v>
      </c>
      <c r="K34">
        <f>VLOOKUP(I34,固定値!$AX$2:$AY$7,2,FALSE)</f>
        <v>0</v>
      </c>
      <c r="L34" t="str">
        <f t="shared" si="1"/>
        <v>272</v>
      </c>
      <c r="M34" t="s">
        <v>608</v>
      </c>
      <c r="N34" t="str">
        <f>IF(I34=ラベル!$G$2,"",CHAR(10)&amp;"【"&amp;C34&amp;"】"&amp;REPT("　",11-LEN(C34))&amp;"●　　　　　"&amp;IF(K34&gt;1,"●","○")&amp;"　　　　　"&amp;IF(K34&gt;2,"●","○")&amp;"　　　　　"&amp;IF(K34&gt;3,"●","○")&amp;"　　 　　"&amp;IF(K34&gt;4,"●","○")&amp;"　 ／")</f>
        <v/>
      </c>
      <c r="O34" t="str">
        <f>IF(I34=ラベル!$G$2,"",CHAR(10)&amp;"【"&amp;M34&amp;"】"&amp;REPT("　",8-LEN(M34))&amp;I34&amp;REPT(" ",22)&amp;L34)</f>
        <v/>
      </c>
      <c r="P34" t="s">
        <v>609</v>
      </c>
    </row>
    <row r="35" spans="3:26">
      <c r="C35" t="s">
        <v>610</v>
      </c>
      <c r="D35" t="s">
        <v>584</v>
      </c>
      <c r="E35">
        <f>IF(COUNTIF(一般技能!$H$51:$H$56,C35)=0,0,VLOOKUP(C35,一般技能!$H$51:$J$56,3,FALSE))</f>
        <v>0</v>
      </c>
      <c r="F35">
        <f>IF(COUNTIF(一般技能!$H$59:$H$82,C35)=0,0,VLOOKUP(C35,一般技能!$H$59:$J$82,3,FALSE))</f>
        <v>0</v>
      </c>
      <c r="G35">
        <f t="shared" si="0"/>
        <v>0</v>
      </c>
      <c r="H35" s="18" t="str">
        <f>VLOOKUP(E35,固定値!$AA$2:$AB$7,2,FALSE)</f>
        <v>－－－</v>
      </c>
      <c r="I35" s="18" t="str">
        <f>VLOOKUP(G35,固定値!$AA$2:$AB$7,2,FALSE)</f>
        <v>－－－</v>
      </c>
      <c r="J35">
        <f>VLOOKUP(I35,固定値!$AG$1:$AI$7,IF(H35=ラベル!$G$2,2,3),FALSE)</f>
        <v>0</v>
      </c>
      <c r="K35">
        <f>VLOOKUP(I35,固定値!$AX$2:$AY$7,2,FALSE)</f>
        <v>0</v>
      </c>
      <c r="L35" t="str">
        <f t="shared" si="1"/>
        <v>271</v>
      </c>
      <c r="M35" t="s">
        <v>610</v>
      </c>
      <c r="N35" t="str">
        <f>IF(I35=ラベル!$G$2,"",CHAR(10)&amp;"【"&amp;C35&amp;"】"&amp;REPT("　",11-LEN(C35))&amp;"●　　　　　"&amp;IF(K35&gt;1,"●","○")&amp;"　　　　　"&amp;IF(K35&gt;2,"●","○")&amp;"　　　　　"&amp;IF(K35&gt;3,"●","○")&amp;"　　 　　"&amp;IF(K35&gt;4,"●","○")&amp;"　 ／")</f>
        <v/>
      </c>
      <c r="O35" t="str">
        <f>IF(I35=ラベル!$G$2,"",CHAR(10)&amp;"【"&amp;M35&amp;"】"&amp;REPT("　",8-LEN(M35))&amp;I35&amp;REPT(" ",22)&amp;L35)</f>
        <v/>
      </c>
      <c r="P35" t="s">
        <v>611</v>
      </c>
    </row>
    <row r="36" spans="3:26">
      <c r="C36" t="s">
        <v>612</v>
      </c>
      <c r="D36" t="s">
        <v>584</v>
      </c>
      <c r="E36">
        <f>IF(COUNTIF(一般技能!$H$51:$H$56,C36)=0,0,VLOOKUP(C36,一般技能!$H$51:$J$56,3,FALSE))</f>
        <v>0</v>
      </c>
      <c r="F36">
        <f>IF(COUNTIF(一般技能!$H$59:$H$82,C36)=0,0,VLOOKUP(C36,一般技能!$H$59:$J$82,3,FALSE))</f>
        <v>0</v>
      </c>
      <c r="G36">
        <f t="shared" si="0"/>
        <v>0</v>
      </c>
      <c r="H36" s="18" t="str">
        <f>VLOOKUP(E36,固定値!$AA$2:$AB$7,2,FALSE)</f>
        <v>－－－</v>
      </c>
      <c r="I36" s="18" t="str">
        <f>VLOOKUP(G36,固定値!$AA$2:$AB$7,2,FALSE)</f>
        <v>－－－</v>
      </c>
      <c r="J36">
        <f>VLOOKUP(I36,固定値!$AG$1:$AI$7,IF(H36=ラベル!$G$2,2,3),FALSE)</f>
        <v>0</v>
      </c>
      <c r="K36">
        <f>VLOOKUP(I36,固定値!$AX$2:$AY$7,2,FALSE)</f>
        <v>0</v>
      </c>
      <c r="L36" t="str">
        <f t="shared" si="1"/>
        <v>270</v>
      </c>
      <c r="M36" t="s">
        <v>612</v>
      </c>
      <c r="N36" t="str">
        <f>IF(I36=ラベル!$G$2,"",CHAR(10)&amp;"【"&amp;C36&amp;"】"&amp;REPT("　",11-LEN(C36))&amp;"●　　　　　"&amp;IF(K36&gt;1,"●","○")&amp;"　　　　　"&amp;IF(K36&gt;2,"●","○")&amp;"　　　　　"&amp;IF(K36&gt;3,"●","○")&amp;"　　 　　"&amp;IF(K36&gt;4,"●","○")&amp;"　 ／")</f>
        <v/>
      </c>
      <c r="O36" t="str">
        <f>IF(I36=ラベル!$G$2,"",CHAR(10)&amp;"【"&amp;M36&amp;"】"&amp;REPT("　",8-LEN(M36))&amp;I36&amp;REPT(" ",22)&amp;L36)</f>
        <v/>
      </c>
      <c r="P36" t="s">
        <v>613</v>
      </c>
      <c r="U36">
        <f>IF(K36=0,-1,INDEX(V36:Z36,K36))</f>
        <v>-1</v>
      </c>
      <c r="V36">
        <v>1</v>
      </c>
      <c r="W36">
        <v>2</v>
      </c>
      <c r="X36" t="s">
        <v>2072</v>
      </c>
      <c r="Y36" t="s">
        <v>2073</v>
      </c>
      <c r="Z36" t="s">
        <v>2073</v>
      </c>
    </row>
    <row r="37" spans="3:26">
      <c r="C37" t="s">
        <v>614</v>
      </c>
      <c r="D37" t="s">
        <v>584</v>
      </c>
      <c r="E37">
        <f>IF(COUNTIF(一般技能!$H$51:$H$56,C37)=0,0,VLOOKUP(C37,一般技能!$H$51:$J$56,3,FALSE))</f>
        <v>0</v>
      </c>
      <c r="F37">
        <f>IF(COUNTIF(一般技能!$H$59:$H$82,C37)=0,0,VLOOKUP(C37,一般技能!$H$59:$J$82,3,FALSE))</f>
        <v>0</v>
      </c>
      <c r="G37">
        <f t="shared" si="0"/>
        <v>0</v>
      </c>
      <c r="H37" s="18" t="str">
        <f>VLOOKUP(E37,固定値!$AA$2:$AB$7,2,FALSE)</f>
        <v>－－－</v>
      </c>
      <c r="I37" s="18" t="str">
        <f>VLOOKUP(G37,固定値!$AA$2:$AB$7,2,FALSE)</f>
        <v>－－－</v>
      </c>
      <c r="J37">
        <f>VLOOKUP(I37,固定値!$AG$1:$AI$7,IF(H37=ラベル!$G$2,2,3),FALSE)</f>
        <v>0</v>
      </c>
      <c r="K37">
        <f>VLOOKUP(I37,固定値!$AX$2:$AY$7,2,FALSE)</f>
        <v>0</v>
      </c>
      <c r="L37" t="str">
        <f t="shared" si="1"/>
        <v>257</v>
      </c>
      <c r="M37" t="s">
        <v>614</v>
      </c>
      <c r="N37" t="str">
        <f>IF(I37=ラベル!$G$2,"",CHAR(10)&amp;"【"&amp;C37&amp;"】"&amp;REPT("　",11-LEN(C37))&amp;"●　　　　　"&amp;IF(K37&gt;1,"●","○")&amp;"　　　　　"&amp;IF(K37&gt;2,"●","○")&amp;"　　　　　"&amp;IF(K37&gt;3,"●","○")&amp;"　　 　　"&amp;IF(K37&gt;4,"●","○")&amp;"　 ／")</f>
        <v/>
      </c>
      <c r="O37" t="str">
        <f>IF(I37=ラベル!$G$2,"",CHAR(10)&amp;"【"&amp;M37&amp;"】"&amp;REPT("　",8-LEN(M37))&amp;I37&amp;REPT(" ",22)&amp;L37)</f>
        <v/>
      </c>
      <c r="P37" t="s">
        <v>615</v>
      </c>
      <c r="R37" t="str">
        <f>IF(I37=ラベル!$G$2,"",CHAR(10)&amp;"【"&amp;M37&amp;"】"&amp;"+"&amp;K37)</f>
        <v/>
      </c>
    </row>
    <row r="38" spans="3:26">
      <c r="C38" t="s">
        <v>616</v>
      </c>
      <c r="D38" t="s">
        <v>584</v>
      </c>
      <c r="E38">
        <f>IF(COUNTIF(一般技能!$H$51:$H$56,C38)=0,0,VLOOKUP(C38,一般技能!$H$51:$J$56,3,FALSE))</f>
        <v>0</v>
      </c>
      <c r="F38">
        <f>IF(COUNTIF(一般技能!$H$59:$H$82,C38)=0,0,VLOOKUP(C38,一般技能!$H$59:$J$82,3,FALSE))</f>
        <v>0</v>
      </c>
      <c r="G38">
        <f t="shared" si="0"/>
        <v>0</v>
      </c>
      <c r="H38" s="18" t="str">
        <f>VLOOKUP(E38,固定値!$AA$2:$AB$7,2,FALSE)</f>
        <v>－－－</v>
      </c>
      <c r="I38" s="18" t="str">
        <f>VLOOKUP(G38,固定値!$AA$2:$AB$7,2,FALSE)</f>
        <v>－－－</v>
      </c>
      <c r="J38">
        <f>VLOOKUP(I38,固定値!$AG$1:$AI$7,IF(H38=ラベル!$G$2,2,3),FALSE)</f>
        <v>0</v>
      </c>
      <c r="K38">
        <f>VLOOKUP(I38,固定値!$AX$2:$AY$7,2,FALSE)</f>
        <v>0</v>
      </c>
      <c r="L38" t="str">
        <f t="shared" si="1"/>
        <v>257</v>
      </c>
      <c r="M38" t="s">
        <v>616</v>
      </c>
      <c r="N38" t="str">
        <f>IF(I38=ラベル!$G$2,"",CHAR(10)&amp;"【"&amp;C38&amp;"】"&amp;REPT("　",11-LEN(C38))&amp;"●　　　　　"&amp;IF(K38&gt;1,"●","○")&amp;"　　　　　"&amp;IF(K38&gt;2,"●","○")&amp;"　　　　　"&amp;IF(K38&gt;3,"●","○")&amp;"　　 　　"&amp;IF(K38&gt;4,"●","○")&amp;"　 ／")</f>
        <v/>
      </c>
      <c r="O38" t="str">
        <f>IF(I38=ラベル!$G$2,"",CHAR(10)&amp;"【"&amp;M38&amp;"】"&amp;REPT("　",8-LEN(M38))&amp;I38&amp;REPT(" ",22)&amp;L38)</f>
        <v/>
      </c>
      <c r="P38" t="s">
        <v>615</v>
      </c>
      <c r="R38" t="str">
        <f>IF(I38=ラベル!$G$2,"",CHAR(10)&amp;"【"&amp;M38&amp;"】"&amp;"+"&amp;K38)</f>
        <v/>
      </c>
    </row>
    <row r="39" spans="3:26">
      <c r="C39" t="s">
        <v>617</v>
      </c>
      <c r="D39" t="s">
        <v>584</v>
      </c>
      <c r="E39">
        <f>IF(COUNTIF(一般技能!$H$51:$H$56,C39)=0,0,VLOOKUP(C39,一般技能!$H$51:$J$56,3,FALSE))</f>
        <v>0</v>
      </c>
      <c r="F39">
        <f>IF(COUNTIF(一般技能!$H$59:$H$82,C39)=0,0,VLOOKUP(C39,一般技能!$H$59:$J$82,3,FALSE))</f>
        <v>0</v>
      </c>
      <c r="G39">
        <f t="shared" si="0"/>
        <v>0</v>
      </c>
      <c r="H39" s="18" t="str">
        <f>VLOOKUP(E39,固定値!$AA$2:$AB$7,2,FALSE)</f>
        <v>－－－</v>
      </c>
      <c r="I39" s="18" t="str">
        <f>VLOOKUP(G39,固定値!$AA$2:$AB$7,2,FALSE)</f>
        <v>－－－</v>
      </c>
      <c r="J39">
        <f>VLOOKUP(I39,固定値!$AG$1:$AI$7,IF(H39=ラベル!$G$2,2,3),FALSE)</f>
        <v>0</v>
      </c>
      <c r="K39">
        <f>VLOOKUP(I39,固定値!$AX$2:$AY$7,2,FALSE)</f>
        <v>0</v>
      </c>
      <c r="L39" t="str">
        <f t="shared" si="1"/>
        <v>257</v>
      </c>
      <c r="M39" t="s">
        <v>617</v>
      </c>
      <c r="N39" t="str">
        <f>IF(I39=ラベル!$G$2,"",CHAR(10)&amp;"【"&amp;C39&amp;"】"&amp;REPT("　",11-LEN(C39))&amp;"●　　　　　"&amp;IF(K39&gt;1,"●","○")&amp;"　　　　　"&amp;IF(K39&gt;2,"●","○")&amp;"　　　　　"&amp;IF(K39&gt;3,"●","○")&amp;"　　 　　"&amp;IF(K39&gt;4,"●","○")&amp;"　 ／")</f>
        <v/>
      </c>
      <c r="O39" t="str">
        <f>IF(I39=ラベル!$G$2,"",CHAR(10)&amp;"【"&amp;M39&amp;"】"&amp;REPT("　",8-LEN(M39))&amp;I39&amp;REPT(" ",22)&amp;L39)</f>
        <v/>
      </c>
      <c r="P39" t="s">
        <v>615</v>
      </c>
      <c r="R39" t="str">
        <f>IF(I39=ラベル!$G$2,"",CHAR(10)&amp;"【"&amp;M39&amp;"】"&amp;"+"&amp;K39)</f>
        <v/>
      </c>
    </row>
    <row r="40" spans="3:26">
      <c r="C40" t="s">
        <v>618</v>
      </c>
      <c r="D40" t="s">
        <v>584</v>
      </c>
      <c r="E40">
        <f>IF(COUNTIF(一般技能!$H$51:$H$56,C40)=0,0,VLOOKUP(C40,一般技能!$H$51:$J$56,3,FALSE))</f>
        <v>0</v>
      </c>
      <c r="F40">
        <f>IF(COUNTIF(一般技能!$H$59:$H$82,C40)=0,0,VLOOKUP(C40,一般技能!$H$59:$J$82,3,FALSE))</f>
        <v>0</v>
      </c>
      <c r="G40">
        <f t="shared" si="0"/>
        <v>0</v>
      </c>
      <c r="H40" s="18" t="str">
        <f>VLOOKUP(E40,固定値!$AA$2:$AB$7,2,FALSE)</f>
        <v>－－－</v>
      </c>
      <c r="I40" s="18" t="str">
        <f>VLOOKUP(G40,固定値!$AA$2:$AB$7,2,FALSE)</f>
        <v>－－－</v>
      </c>
      <c r="J40">
        <f>VLOOKUP(I40,固定値!$AG$1:$AI$7,IF(H40=ラベル!$G$2,2,3),FALSE)</f>
        <v>0</v>
      </c>
      <c r="K40">
        <f>VLOOKUP(I40,固定値!$AX$2:$AY$7,2,FALSE)</f>
        <v>0</v>
      </c>
      <c r="L40" t="str">
        <f t="shared" si="1"/>
        <v>257</v>
      </c>
      <c r="M40" t="s">
        <v>618</v>
      </c>
      <c r="N40" t="str">
        <f>IF(I40=ラベル!$G$2,"",CHAR(10)&amp;"【"&amp;C40&amp;"】"&amp;REPT("　",11-LEN(C40))&amp;"●　　　　　"&amp;IF(K40&gt;1,"●","○")&amp;"　　　　　"&amp;IF(K40&gt;2,"●","○")&amp;"　　　　　"&amp;IF(K40&gt;3,"●","○")&amp;"　　 　　"&amp;IF(K40&gt;4,"●","○")&amp;"　 ／")</f>
        <v/>
      </c>
      <c r="O40" t="str">
        <f>IF(I40=ラベル!$G$2,"",CHAR(10)&amp;"【"&amp;M40&amp;"】"&amp;REPT("　",8-LEN(M40))&amp;I40&amp;REPT(" ",22)&amp;L40)</f>
        <v/>
      </c>
      <c r="P40" t="s">
        <v>615</v>
      </c>
      <c r="R40" t="str">
        <f>IF(I40=ラベル!$G$2,"",CHAR(10)&amp;"【"&amp;M40&amp;"】"&amp;"+"&amp;K40)</f>
        <v/>
      </c>
    </row>
    <row r="41" spans="3:26">
      <c r="C41" t="s">
        <v>619</v>
      </c>
      <c r="D41" t="s">
        <v>584</v>
      </c>
      <c r="E41">
        <f>IF(COUNTIF(一般技能!$H$51:$H$56,C41)=0,0,VLOOKUP(C41,一般技能!$H$51:$J$56,3,FALSE))</f>
        <v>0</v>
      </c>
      <c r="F41">
        <f>IF(COUNTIF(一般技能!$H$59:$H$82,C41)=0,0,VLOOKUP(C41,一般技能!$H$59:$J$82,3,FALSE))</f>
        <v>0</v>
      </c>
      <c r="G41">
        <f t="shared" si="0"/>
        <v>0</v>
      </c>
      <c r="H41" s="18" t="str">
        <f>VLOOKUP(E41,固定値!$AA$2:$AB$7,2,FALSE)</f>
        <v>－－－</v>
      </c>
      <c r="I41" s="18" t="str">
        <f>VLOOKUP(G41,固定値!$AA$2:$AB$7,2,FALSE)</f>
        <v>－－－</v>
      </c>
      <c r="J41">
        <f>VLOOKUP(I41,固定値!$AG$1:$AI$7,IF(H41=ラベル!$G$2,2,3),FALSE)</f>
        <v>0</v>
      </c>
      <c r="K41">
        <f>VLOOKUP(I41,固定値!$AX$2:$AY$7,2,FALSE)</f>
        <v>0</v>
      </c>
      <c r="L41" t="str">
        <f t="shared" si="1"/>
        <v>257</v>
      </c>
      <c r="M41" t="s">
        <v>619</v>
      </c>
      <c r="N41" t="str">
        <f>IF(I41=ラベル!$G$2,"",CHAR(10)&amp;"【"&amp;C41&amp;"】"&amp;REPT("　",11-LEN(C41))&amp;"●　　　　　"&amp;IF(K41&gt;1,"●","○")&amp;"　　　　　"&amp;IF(K41&gt;2,"●","○")&amp;"　　　　　"&amp;IF(K41&gt;3,"●","○")&amp;"　　 　　"&amp;IF(K41&gt;4,"●","○")&amp;"　 ／")</f>
        <v/>
      </c>
      <c r="O41" t="str">
        <f>IF(I41=ラベル!$G$2,"",CHAR(10)&amp;"【"&amp;M41&amp;"】"&amp;REPT("　",8-LEN(M41))&amp;I41&amp;REPT(" ",22)&amp;L41)</f>
        <v/>
      </c>
      <c r="P41" t="s">
        <v>615</v>
      </c>
      <c r="R41" t="str">
        <f>IF(I41=ラベル!$G$2,"",CHAR(10)&amp;"【"&amp;M41&amp;"】"&amp;"+"&amp;K41)</f>
        <v/>
      </c>
    </row>
    <row r="42" spans="3:26">
      <c r="C42" t="s">
        <v>620</v>
      </c>
      <c r="D42" t="s">
        <v>584</v>
      </c>
      <c r="E42">
        <f>IF(COUNTIF(一般技能!$H$51:$H$56,C42)=0,0,VLOOKUP(C42,一般技能!$H$51:$J$56,3,FALSE))</f>
        <v>0</v>
      </c>
      <c r="F42">
        <f>IF(COUNTIF(一般技能!$H$59:$H$82,C42)=0,0,VLOOKUP(C42,一般技能!$H$59:$J$82,3,FALSE))</f>
        <v>0</v>
      </c>
      <c r="G42">
        <f t="shared" si="0"/>
        <v>0</v>
      </c>
      <c r="H42" s="18" t="str">
        <f>VLOOKUP(E42,固定値!$AA$2:$AB$7,2,FALSE)</f>
        <v>－－－</v>
      </c>
      <c r="I42" s="18" t="str">
        <f>VLOOKUP(G42,固定値!$AA$2:$AB$7,2,FALSE)</f>
        <v>－－－</v>
      </c>
      <c r="J42">
        <f>VLOOKUP(I42,固定値!$AG$1:$AI$7,IF(H42=ラベル!$G$2,2,3),FALSE)</f>
        <v>0</v>
      </c>
      <c r="K42">
        <f>VLOOKUP(I42,固定値!$AX$2:$AY$7,2,FALSE)</f>
        <v>0</v>
      </c>
      <c r="L42" t="str">
        <f t="shared" si="1"/>
        <v>257</v>
      </c>
      <c r="M42" t="s">
        <v>620</v>
      </c>
      <c r="N42" t="str">
        <f>IF(I42=ラベル!$G$2,"",CHAR(10)&amp;"【"&amp;C42&amp;"】"&amp;REPT("　",11-LEN(C42))&amp;"●　　　　　"&amp;IF(K42&gt;1,"●","○")&amp;"　　　　　"&amp;IF(K42&gt;2,"●","○")&amp;"　　　　　"&amp;IF(K42&gt;3,"●","○")&amp;"　　 　　"&amp;IF(K42&gt;4,"●","○")&amp;"　 ／")</f>
        <v/>
      </c>
      <c r="O42" t="str">
        <f>IF(I42=ラベル!$G$2,"",CHAR(10)&amp;"【"&amp;M42&amp;"】"&amp;REPT("　",8-LEN(M42))&amp;I42&amp;REPT(" ",22)&amp;L42)</f>
        <v/>
      </c>
      <c r="P42" t="s">
        <v>615</v>
      </c>
      <c r="R42" t="str">
        <f>IF(I42=ラベル!$G$2,"",CHAR(10)&amp;"【"&amp;M42&amp;"】"&amp;"+"&amp;K42)</f>
        <v/>
      </c>
    </row>
    <row r="43" spans="3:26">
      <c r="C43" t="s">
        <v>621</v>
      </c>
      <c r="D43" t="s">
        <v>584</v>
      </c>
      <c r="E43">
        <f>IF(COUNTIF(一般技能!$H$51:$H$56,C43)=0,0,VLOOKUP(C43,一般技能!$H$51:$J$56,3,FALSE))</f>
        <v>0</v>
      </c>
      <c r="F43">
        <f>IF(COUNTIF(一般技能!$H$59:$H$82,C43)=0,0,VLOOKUP(C43,一般技能!$H$59:$J$82,3,FALSE))</f>
        <v>0</v>
      </c>
      <c r="G43">
        <f t="shared" si="0"/>
        <v>0</v>
      </c>
      <c r="H43" s="18" t="str">
        <f>VLOOKUP(E43,固定値!$AA$2:$AB$7,2,FALSE)</f>
        <v>－－－</v>
      </c>
      <c r="I43" s="18" t="str">
        <f>VLOOKUP(G43,固定値!$AA$2:$AB$7,2,FALSE)</f>
        <v>－－－</v>
      </c>
      <c r="J43">
        <f>VLOOKUP(I43,固定値!$AG$1:$AI$7,IF(H43=ラベル!$G$2,2,3),FALSE)</f>
        <v>0</v>
      </c>
      <c r="K43">
        <f>VLOOKUP(I43,固定値!$AX$2:$AY$7,2,FALSE)</f>
        <v>0</v>
      </c>
      <c r="L43" t="str">
        <f t="shared" si="1"/>
        <v>257</v>
      </c>
      <c r="M43" t="s">
        <v>622</v>
      </c>
      <c r="N43" t="str">
        <f>IF(I43=ラベル!$G$2,"",CHAR(10)&amp;"【"&amp;C43&amp;"】"&amp;REPT("　",11-LEN(C43))&amp;"●　　　　　"&amp;IF(K43&gt;1,"●","○")&amp;"　　　　　"&amp;IF(K43&gt;2,"●","○")&amp;"　　　　　"&amp;IF(K43&gt;3,"●","○")&amp;"　　 　　"&amp;IF(K43&gt;4,"●","○")&amp;"　 ／")</f>
        <v/>
      </c>
      <c r="O43" t="str">
        <f>IF(I43=ラベル!$G$2,"",CHAR(10)&amp;"【"&amp;M43&amp;"】"&amp;REPT("　",8-LEN(M43))&amp;I43&amp;REPT(" ",22)&amp;L43)</f>
        <v/>
      </c>
      <c r="P43" t="s">
        <v>615</v>
      </c>
      <c r="R43" t="str">
        <f>IF(I43=ラベル!$G$2,"",CHAR(10)&amp;"【"&amp;M43&amp;"】"&amp;"+"&amp;K43)</f>
        <v/>
      </c>
    </row>
    <row r="44" spans="3:26">
      <c r="C44" t="s">
        <v>623</v>
      </c>
      <c r="D44" t="s">
        <v>584</v>
      </c>
      <c r="E44">
        <f>IF(COUNTIF(一般技能!$H$51:$H$56,C44)=0,0,VLOOKUP(C44,一般技能!$H$51:$J$56,3,FALSE))</f>
        <v>1</v>
      </c>
      <c r="F44">
        <f>IF(COUNTIF(一般技能!$H$59:$H$82,C44)=0,0,VLOOKUP(C44,一般技能!$H$59:$J$82,3,FALSE))</f>
        <v>0</v>
      </c>
      <c r="G44">
        <f t="shared" si="0"/>
        <v>1</v>
      </c>
      <c r="H44" s="18" t="str">
        <f>VLOOKUP(E44,固定値!$AA$2:$AB$7,2,FALSE)</f>
        <v>初歩</v>
      </c>
      <c r="I44" s="18" t="str">
        <f>VLOOKUP(G44,固定値!$AA$2:$AB$7,2,FALSE)</f>
        <v>初歩</v>
      </c>
      <c r="J44">
        <f>VLOOKUP(I44,固定値!$AG$1:$AI$7,IF(H44=ラベル!$G$2,2,3),FALSE)</f>
        <v>0</v>
      </c>
      <c r="K44">
        <f>VLOOKUP(I44,固定値!$AX$2:$AY$7,2,FALSE)</f>
        <v>1</v>
      </c>
      <c r="L44" t="str">
        <f t="shared" si="1"/>
        <v>257</v>
      </c>
      <c r="M44" t="s">
        <v>624</v>
      </c>
      <c r="N44" t="str">
        <f>IF(I44=ラベル!$G$2,"",CHAR(10)&amp;"【"&amp;C44&amp;"】"&amp;REPT("　",11-LEN(C44))&amp;"●　　　　　"&amp;IF(K44&gt;1,"●","○")&amp;"　　　　　"&amp;IF(K44&gt;2,"●","○")&amp;"　　　　　"&amp;IF(K44&gt;3,"●","○")&amp;"　　 　　"&amp;IF(K44&gt;4,"●","○")&amp;"　 ／")</f>
        <v xml:space="preserve">
【武器：投擲武器】　　　　●　　　　　○　　　　　○　　　　　○　　 　　○　 ／</v>
      </c>
      <c r="O44" t="str">
        <f>IF(I44=ラベル!$G$2,"",CHAR(10)&amp;"【"&amp;M44&amp;"】"&amp;REPT("　",8-LEN(M44))&amp;I44&amp;REPT(" ",22)&amp;L44)</f>
        <v xml:space="preserve">
【武器：投擲】　　　初歩                      257</v>
      </c>
      <c r="P44" t="s">
        <v>615</v>
      </c>
      <c r="R44" t="str">
        <f>IF(I44=ラベル!$G$2,"",CHAR(10)&amp;"【"&amp;M44&amp;"】"&amp;"+"&amp;K44)</f>
        <v xml:space="preserve">
【武器：投擲】+1</v>
      </c>
    </row>
    <row r="45" spans="3:26">
      <c r="C45" t="s">
        <v>625</v>
      </c>
      <c r="D45" t="s">
        <v>584</v>
      </c>
      <c r="E45">
        <f>IF(COUNTIF(一般技能!$H$51:$H$56,C45)=0,0,VLOOKUP(C45,一般技能!$H$51:$J$56,3,FALSE))</f>
        <v>0</v>
      </c>
      <c r="F45">
        <f>IF(COUNTIF(一般技能!$H$59:$H$82,C45)=0,0,VLOOKUP(C45,一般技能!$H$59:$J$82,3,FALSE))</f>
        <v>0</v>
      </c>
      <c r="G45">
        <f t="shared" si="0"/>
        <v>0</v>
      </c>
      <c r="H45" s="18" t="str">
        <f>VLOOKUP(E45,固定値!$AA$2:$AB$7,2,FALSE)</f>
        <v>－－－</v>
      </c>
      <c r="I45" s="18" t="str">
        <f>VLOOKUP(G45,固定値!$AA$2:$AB$7,2,FALSE)</f>
        <v>－－－</v>
      </c>
      <c r="J45">
        <f>VLOOKUP(I45,固定値!$AG$1:$AI$7,IF(H45=ラベル!$G$2,2,3),FALSE)</f>
        <v>0</v>
      </c>
      <c r="K45">
        <f>VLOOKUP(I45,固定値!$AX$2:$AY$7,2,FALSE)</f>
        <v>0</v>
      </c>
      <c r="L45" t="str">
        <f t="shared" si="1"/>
        <v>257</v>
      </c>
      <c r="M45" t="s">
        <v>625</v>
      </c>
      <c r="N45" t="str">
        <f>IF(I45=ラベル!$G$2,"",CHAR(10)&amp;"【"&amp;C45&amp;"】"&amp;REPT("　",11-LEN(C45))&amp;"●　　　　　"&amp;IF(K45&gt;1,"●","○")&amp;"　　　　　"&amp;IF(K45&gt;2,"●","○")&amp;"　　　　　"&amp;IF(K45&gt;3,"●","○")&amp;"　　 　　"&amp;IF(K45&gt;4,"●","○")&amp;"　 ／")</f>
        <v/>
      </c>
      <c r="O45" t="str">
        <f>IF(I45=ラベル!$G$2,"",CHAR(10)&amp;"【"&amp;M45&amp;"】"&amp;REPT("　",8-LEN(M45))&amp;I45&amp;REPT(" ",22)&amp;L45)</f>
        <v/>
      </c>
      <c r="P45" t="s">
        <v>615</v>
      </c>
      <c r="R45" t="str">
        <f>IF(I45=ラベル!$G$2,"",CHAR(10)&amp;"【"&amp;M45&amp;"】"&amp;"+"&amp;K45)</f>
        <v/>
      </c>
    </row>
    <row r="46" spans="3:26">
      <c r="C46" t="s">
        <v>626</v>
      </c>
      <c r="D46" t="s">
        <v>584</v>
      </c>
      <c r="E46">
        <f>IF(COUNTIF(一般技能!$H$51:$H$56,C46)=0,0,VLOOKUP(C46,一般技能!$H$51:$J$56,3,FALSE))</f>
        <v>0</v>
      </c>
      <c r="F46">
        <f>IF(COUNTIF(一般技能!$H$59:$H$82,C46)=0,0,VLOOKUP(C46,一般技能!$H$59:$J$82,3,FALSE))</f>
        <v>0</v>
      </c>
      <c r="G46">
        <f t="shared" si="0"/>
        <v>0</v>
      </c>
      <c r="H46" s="18" t="str">
        <f>VLOOKUP(E46,固定値!$AA$2:$AB$7,2,FALSE)</f>
        <v>－－－</v>
      </c>
      <c r="I46" s="18" t="str">
        <f>VLOOKUP(G46,固定値!$AA$2:$AB$7,2,FALSE)</f>
        <v>－－－</v>
      </c>
      <c r="J46">
        <f>VLOOKUP(I46,固定値!$AG$1:$AI$7,IF(H46=ラベル!$G$2,2,3),FALSE)</f>
        <v>0</v>
      </c>
      <c r="K46">
        <f>VLOOKUP(I46,固定値!$AX$2:$AY$7,2,FALSE)</f>
        <v>0</v>
      </c>
      <c r="L46" t="str">
        <f t="shared" si="1"/>
        <v>269</v>
      </c>
      <c r="M46" t="s">
        <v>626</v>
      </c>
      <c r="N46" t="str">
        <f>IF(I46=ラベル!$G$2,"",CHAR(10)&amp;"【"&amp;C46&amp;"】"&amp;REPT("　",11-LEN(C46))&amp;"●　　　　　"&amp;IF(K46&gt;1,"●","○")&amp;"　　　　　"&amp;IF(K46&gt;2,"●","○")&amp;"　　　　　"&amp;IF(K46&gt;3,"●","○")&amp;"　　 　　"&amp;IF(K46&gt;4,"●","○")&amp;"　 ／")</f>
        <v/>
      </c>
      <c r="O46" t="str">
        <f>IF(I46=ラベル!$G$2,"",CHAR(10)&amp;"【"&amp;M46&amp;"】"&amp;REPT("　",8-LEN(M46))&amp;I46&amp;REPT(" ",22)&amp;L46)</f>
        <v/>
      </c>
      <c r="P46" t="s">
        <v>606</v>
      </c>
    </row>
    <row r="47" spans="3:26">
      <c r="C47" t="s">
        <v>627</v>
      </c>
      <c r="D47" t="s">
        <v>584</v>
      </c>
      <c r="E47">
        <f>IF(COUNTIF(一般技能!$H$51:$H$56,C47)=0,0,VLOOKUP(C47,一般技能!$H$51:$J$56,3,FALSE))</f>
        <v>0</v>
      </c>
      <c r="F47">
        <f>IF(COUNTIF(一般技能!$H$59:$H$82,C47)=0,0,VLOOKUP(C47,一般技能!$H$59:$J$82,3,FALSE))</f>
        <v>0</v>
      </c>
      <c r="G47">
        <f t="shared" si="0"/>
        <v>0</v>
      </c>
      <c r="H47" s="18" t="str">
        <f>VLOOKUP(E47,固定値!$AA$2:$AB$7,2,FALSE)</f>
        <v>－－－</v>
      </c>
      <c r="I47" s="18" t="str">
        <f>VLOOKUP(G47,固定値!$AA$2:$AB$7,2,FALSE)</f>
        <v>－－－</v>
      </c>
      <c r="J47">
        <f>VLOOKUP(I47,固定値!$AG$1:$AI$7,IF(H47=ラベル!$G$2,2,3),FALSE)</f>
        <v>0</v>
      </c>
      <c r="K47">
        <f>VLOOKUP(I47,固定値!$AX$2:$AY$7,2,FALSE)</f>
        <v>0</v>
      </c>
      <c r="L47" t="str">
        <f t="shared" si="1"/>
        <v>257</v>
      </c>
      <c r="M47" t="s">
        <v>627</v>
      </c>
      <c r="N47" t="str">
        <f>IF(I47=ラベル!$G$2,"",CHAR(10)&amp;"【"&amp;C47&amp;"】"&amp;REPT("　",11-LEN(C47))&amp;"●　　　　　"&amp;IF(K47&gt;1,"●","○")&amp;"　　　　　"&amp;IF(K47&gt;2,"●","○")&amp;"　　　　　"&amp;IF(K47&gt;3,"●","○")&amp;"　　 　　"&amp;IF(K47&gt;4,"●","○")&amp;"　 ／")</f>
        <v/>
      </c>
      <c r="O47" t="str">
        <f>IF(I47=ラベル!$G$2,"",CHAR(10)&amp;"【"&amp;M47&amp;"】"&amp;REPT("　",8-LEN(M47))&amp;I47&amp;REPT(" ",22)&amp;L47)</f>
        <v/>
      </c>
      <c r="P47" t="s">
        <v>615</v>
      </c>
      <c r="S47" t="str">
        <f>IF(I47=ラベル!$F$2,"","【"&amp;M47&amp;"】"&amp;"+"&amp;K47)</f>
        <v/>
      </c>
    </row>
    <row r="48" spans="3:26">
      <c r="C48" t="s">
        <v>628</v>
      </c>
      <c r="D48" t="s">
        <v>584</v>
      </c>
      <c r="E48">
        <f>IF(COUNTIF(一般技能!$H$51:$H$56,C48)=0,0,VLOOKUP(C48,一般技能!$H$51:$J$56,3,FALSE))</f>
        <v>0</v>
      </c>
      <c r="F48">
        <f>IF(COUNTIF(一般技能!$H$59:$H$82,C48)=0,0,VLOOKUP(C48,一般技能!$H$59:$J$82,3,FALSE))</f>
        <v>0</v>
      </c>
      <c r="G48">
        <f t="shared" si="0"/>
        <v>0</v>
      </c>
      <c r="H48" s="18" t="str">
        <f>VLOOKUP(E48,固定値!$AA$2:$AB$7,2,FALSE)</f>
        <v>－－－</v>
      </c>
      <c r="I48" s="18" t="str">
        <f>VLOOKUP(G48,固定値!$AA$2:$AB$7,2,FALSE)</f>
        <v>－－－</v>
      </c>
      <c r="J48">
        <f>VLOOKUP(I48,固定値!$AG$1:$AI$7,IF(H48=ラベル!$G$2,2,3),FALSE)</f>
        <v>0</v>
      </c>
      <c r="K48">
        <f>VLOOKUP(I48,固定値!$AX$2:$AY$7,2,FALSE)</f>
        <v>0</v>
      </c>
      <c r="L48" t="str">
        <f t="shared" si="1"/>
        <v>257</v>
      </c>
      <c r="M48" t="s">
        <v>628</v>
      </c>
      <c r="N48" t="str">
        <f>IF(I48=ラベル!$G$2,"",CHAR(10)&amp;"【"&amp;C48&amp;"】"&amp;REPT("　",11-LEN(C48))&amp;"●　　　　　"&amp;IF(K48&gt;1,"●","○")&amp;"　　　　　"&amp;IF(K48&gt;2,"●","○")&amp;"　　　　　"&amp;IF(K48&gt;3,"●","○")&amp;"　　 　　"&amp;IF(K48&gt;4,"●","○")&amp;"　 ／")</f>
        <v/>
      </c>
      <c r="O48" t="str">
        <f>IF(I48=ラベル!$G$2,"",CHAR(10)&amp;"【"&amp;M48&amp;"】"&amp;REPT("　",8-LEN(M48))&amp;I48&amp;REPT(" ",22)&amp;L48)</f>
        <v/>
      </c>
      <c r="P48" t="s">
        <v>615</v>
      </c>
      <c r="S48" t="str">
        <f>IF(I48=ラベル!$F$2,"","【"&amp;M48&amp;"】"&amp;"+"&amp;K48)</f>
        <v/>
      </c>
    </row>
    <row r="49" spans="3:19">
      <c r="C49" t="s">
        <v>629</v>
      </c>
      <c r="D49" t="s">
        <v>584</v>
      </c>
      <c r="E49">
        <f>IF(COUNTIF(一般技能!$H$51:$H$56,C49)=0,0,VLOOKUP(C49,一般技能!$H$51:$J$56,3,FALSE))</f>
        <v>0</v>
      </c>
      <c r="F49">
        <f>IF(COUNTIF(一般技能!$H$59:$H$82,C49)=0,0,VLOOKUP(C49,一般技能!$H$59:$J$82,3,FALSE))</f>
        <v>0</v>
      </c>
      <c r="G49">
        <f t="shared" si="0"/>
        <v>0</v>
      </c>
      <c r="H49" s="18" t="str">
        <f>VLOOKUP(E49,固定値!$AA$2:$AB$7,2,FALSE)</f>
        <v>－－－</v>
      </c>
      <c r="I49" s="18" t="str">
        <f>VLOOKUP(G49,固定値!$AA$2:$AB$7,2,FALSE)</f>
        <v>－－－</v>
      </c>
      <c r="J49">
        <f>VLOOKUP(I49,固定値!$AG$1:$AI$7,IF(H49=ラベル!$G$2,2,3),FALSE)</f>
        <v>0</v>
      </c>
      <c r="K49">
        <f>VLOOKUP(I49,固定値!$AX$2:$AY$7,2,FALSE)</f>
        <v>0</v>
      </c>
      <c r="L49" t="str">
        <f t="shared" si="1"/>
        <v>257</v>
      </c>
      <c r="M49" t="s">
        <v>629</v>
      </c>
      <c r="N49" t="str">
        <f>IF(I49=ラベル!$G$2,"",CHAR(10)&amp;"【"&amp;C49&amp;"】"&amp;REPT("　",11-LEN(C49))&amp;"●　　　　　"&amp;IF(K49&gt;1,"●","○")&amp;"　　　　　"&amp;IF(K49&gt;2,"●","○")&amp;"　　　　　"&amp;IF(K49&gt;3,"●","○")&amp;"　　 　　"&amp;IF(K49&gt;4,"●","○")&amp;"　 ／")</f>
        <v/>
      </c>
      <c r="O49" t="str">
        <f>IF(I49=ラベル!$G$2,"",CHAR(10)&amp;"【"&amp;M49&amp;"】"&amp;REPT("　",8-LEN(M49))&amp;I49&amp;REPT(" ",22)&amp;L49)</f>
        <v/>
      </c>
      <c r="P49" t="s">
        <v>615</v>
      </c>
      <c r="S49" t="str">
        <f>IF(I49=ラベル!$F$2,"","【"&amp;M49&amp;"】"&amp;"+"&amp;K49)</f>
        <v/>
      </c>
    </row>
    <row r="50" spans="3:19">
      <c r="C50" t="s">
        <v>630</v>
      </c>
      <c r="D50" t="s">
        <v>631</v>
      </c>
      <c r="E50">
        <f>IF(COUNTIF(一般技能!$H$51:$H$56,C50)=0,0,VLOOKUP(C50,一般技能!$H$51:$J$56,3,FALSE))</f>
        <v>0</v>
      </c>
      <c r="F50">
        <f>IF(COUNTIF(一般技能!$H$59:$H$82,C50)=0,0,VLOOKUP(C50,一般技能!$H$59:$J$82,3,FALSE))</f>
        <v>0</v>
      </c>
      <c r="G50">
        <f t="shared" si="0"/>
        <v>0</v>
      </c>
      <c r="H50" s="18" t="str">
        <f>VLOOKUP(E50,固定値!$AA$2:$AB$7,2,FALSE)</f>
        <v>－－－</v>
      </c>
      <c r="I50" s="18" t="str">
        <f>VLOOKUP(G50,固定値!$AA$2:$AB$7,2,FALSE)</f>
        <v>－－－</v>
      </c>
      <c r="J50">
        <f>VLOOKUP(I50,固定値!$AG$1:$AI$7,IF(H50=ラベル!$G$2,2,3),FALSE)</f>
        <v>0</v>
      </c>
      <c r="K50">
        <f>VLOOKUP(I50,固定値!$AX$2:$AY$7,2,FALSE)</f>
        <v>0</v>
      </c>
      <c r="L50" t="str">
        <f t="shared" si="1"/>
        <v>273</v>
      </c>
      <c r="M50" t="s">
        <v>630</v>
      </c>
      <c r="N50" t="str">
        <f>IF(I50=ラベル!$G$2,"",CHAR(10)&amp;"【"&amp;C50&amp;"】"&amp;REPT("　",11-LEN(C50))&amp;"●　　　　　"&amp;IF(K50&gt;1,"●","○")&amp;"　　　　　"&amp;IF(K50&gt;2,"●","○")&amp;"　　　　　"&amp;IF(K50&gt;3,"●","○")&amp;"　　 　　"&amp;IF(K50&gt;4,"●","○")&amp;"　 ／")</f>
        <v/>
      </c>
      <c r="O50" t="str">
        <f>IF(I50=ラベル!$G$2,"",CHAR(10)&amp;"【"&amp;M50&amp;"】"&amp;REPT("　",8-LEN(M50))&amp;I50&amp;REPT(" ",22)&amp;L50)</f>
        <v/>
      </c>
      <c r="P50" t="s">
        <v>632</v>
      </c>
      <c r="Q50" t="str">
        <f>IF(I50=ラベル!$G$2,"",CHAR(10)&amp;"【"&amp;M50&amp;"】"&amp;"大成功："&amp;VLOOKUP(I50,固定値!$DT$2:$DV$7,2,FALSE)&amp;"/効果値+"&amp;VLOOKUP(I50,固定値!$DT$2:$DV$7,3,FALSE))</f>
        <v/>
      </c>
    </row>
    <row r="51" spans="3:19">
      <c r="C51" t="s">
        <v>633</v>
      </c>
      <c r="D51" t="s">
        <v>631</v>
      </c>
      <c r="E51">
        <f>IF(COUNTIF(一般技能!$H$51:$H$56,C51)=0,0,VLOOKUP(C51,一般技能!$H$51:$J$56,3,FALSE))</f>
        <v>0</v>
      </c>
      <c r="F51">
        <f>IF(COUNTIF(一般技能!$H$59:$H$82,C51)=0,0,VLOOKUP(C51,一般技能!$H$59:$J$82,3,FALSE))</f>
        <v>0</v>
      </c>
      <c r="G51">
        <f t="shared" si="0"/>
        <v>0</v>
      </c>
      <c r="H51" s="18" t="str">
        <f>VLOOKUP(E51,固定値!$AA$2:$AB$7,2,FALSE)</f>
        <v>－－－</v>
      </c>
      <c r="I51" s="18" t="str">
        <f>VLOOKUP(G51,固定値!$AA$2:$AB$7,2,FALSE)</f>
        <v>－－－</v>
      </c>
      <c r="J51">
        <f>VLOOKUP(I51,固定値!$AG$1:$AI$7,IF(H51=ラベル!$G$2,2,3),FALSE)</f>
        <v>0</v>
      </c>
      <c r="K51">
        <f>VLOOKUP(I51,固定値!$AX$2:$AY$7,2,FALSE)</f>
        <v>0</v>
      </c>
      <c r="L51" t="str">
        <f t="shared" si="1"/>
        <v>273</v>
      </c>
      <c r="M51" t="s">
        <v>633</v>
      </c>
      <c r="N51" t="str">
        <f>IF(I51=ラベル!$G$2,"",CHAR(10)&amp;"【"&amp;C51&amp;"】"&amp;REPT("　",11-LEN(C51))&amp;"●　　　　　"&amp;IF(K51&gt;1,"●","○")&amp;"　　　　　"&amp;IF(K51&gt;2,"●","○")&amp;"　　　　　"&amp;IF(K51&gt;3,"●","○")&amp;"　　 　　"&amp;IF(K51&gt;4,"●","○")&amp;"　 ／")</f>
        <v/>
      </c>
      <c r="O51" t="str">
        <f>IF(I51=ラベル!$G$2,"",CHAR(10)&amp;"【"&amp;M51&amp;"】"&amp;REPT("　",8-LEN(M51))&amp;I51&amp;REPT(" ",22)&amp;L51)</f>
        <v/>
      </c>
      <c r="P51" t="s">
        <v>632</v>
      </c>
      <c r="Q51" t="str">
        <f>IF(I51=ラベル!$G$2,"",CHAR(10)&amp;"【"&amp;M51&amp;"】"&amp;"大成功："&amp;VLOOKUP(I51,固定値!$DT$2:$DV$7,2,FALSE)&amp;"/効果値+"&amp;VLOOKUP(I51,固定値!$DT$2:$DV$7,3,FALSE))</f>
        <v/>
      </c>
    </row>
    <row r="52" spans="3:19">
      <c r="C52" t="s">
        <v>634</v>
      </c>
      <c r="D52" t="s">
        <v>631</v>
      </c>
      <c r="E52">
        <f>IF(COUNTIF(一般技能!$H$51:$H$56,C52)=0,0,VLOOKUP(C52,一般技能!$H$51:$J$56,3,FALSE))</f>
        <v>0</v>
      </c>
      <c r="F52">
        <f>IF(COUNTIF(一般技能!$H$59:$H$82,C52)=0,0,VLOOKUP(C52,一般技能!$H$59:$J$82,3,FALSE))</f>
        <v>0</v>
      </c>
      <c r="G52">
        <f t="shared" si="0"/>
        <v>0</v>
      </c>
      <c r="H52" s="18" t="str">
        <f>VLOOKUP(E52,固定値!$AA$2:$AB$7,2,FALSE)</f>
        <v>－－－</v>
      </c>
      <c r="I52" s="18" t="str">
        <f>VLOOKUP(G52,固定値!$AA$2:$AB$7,2,FALSE)</f>
        <v>－－－</v>
      </c>
      <c r="J52">
        <f>VLOOKUP(I52,固定値!$AG$1:$AI$7,IF(H52=ラベル!$G$2,2,3),FALSE)</f>
        <v>0</v>
      </c>
      <c r="K52">
        <f>VLOOKUP(I52,固定値!$AX$2:$AY$7,2,FALSE)</f>
        <v>0</v>
      </c>
      <c r="L52" t="str">
        <f t="shared" si="1"/>
        <v>273</v>
      </c>
      <c r="M52" t="s">
        <v>634</v>
      </c>
      <c r="N52" t="str">
        <f>IF(I52=ラベル!$G$2,"",CHAR(10)&amp;"【"&amp;C52&amp;"】"&amp;REPT("　",11-LEN(C52))&amp;"●　　　　　"&amp;IF(K52&gt;1,"●","○")&amp;"　　　　　"&amp;IF(K52&gt;2,"●","○")&amp;"　　　　　"&amp;IF(K52&gt;3,"●","○")&amp;"　　 　　"&amp;IF(K52&gt;4,"●","○")&amp;"　 ／")</f>
        <v/>
      </c>
      <c r="O52" t="str">
        <f>IF(I52=ラベル!$G$2,"",CHAR(10)&amp;"【"&amp;M52&amp;"】"&amp;REPT("　",8-LEN(M52))&amp;I52&amp;REPT(" ",22)&amp;L52)</f>
        <v/>
      </c>
      <c r="P52" t="s">
        <v>632</v>
      </c>
      <c r="Q52" t="str">
        <f>IF(I52=ラベル!$G$2,"",CHAR(10)&amp;"【"&amp;M52&amp;"】"&amp;"大成功："&amp;VLOOKUP(I52,固定値!$DT$2:$DV$7,2,FALSE)&amp;"/効果値+"&amp;VLOOKUP(I52,固定値!$DT$2:$DV$7,3,FALSE))</f>
        <v/>
      </c>
    </row>
    <row r="53" spans="3:19">
      <c r="C53" t="s">
        <v>635</v>
      </c>
      <c r="D53" t="s">
        <v>631</v>
      </c>
      <c r="E53">
        <f>IF(COUNTIF(一般技能!$H$51:$H$56,C53)=0,0,VLOOKUP(C53,一般技能!$H$51:$J$56,3,FALSE))</f>
        <v>0</v>
      </c>
      <c r="F53">
        <f>IF(COUNTIF(一般技能!$H$59:$H$82,C53)=0,0,VLOOKUP(C53,一般技能!$H$59:$J$82,3,FALSE))</f>
        <v>0</v>
      </c>
      <c r="G53">
        <f t="shared" si="0"/>
        <v>0</v>
      </c>
      <c r="H53" s="18" t="str">
        <f>VLOOKUP(E53,固定値!$AA$2:$AB$7,2,FALSE)</f>
        <v>－－－</v>
      </c>
      <c r="I53" s="18" t="str">
        <f>VLOOKUP(G53,固定値!$AA$2:$AB$7,2,FALSE)</f>
        <v>－－－</v>
      </c>
      <c r="J53">
        <f>VLOOKUP(I53,固定値!$AG$1:$AI$7,IF(H53=ラベル!$G$2,2,3),FALSE)</f>
        <v>0</v>
      </c>
      <c r="K53">
        <f>VLOOKUP(I53,固定値!$AX$2:$AY$7,2,FALSE)</f>
        <v>0</v>
      </c>
      <c r="L53" t="str">
        <f t="shared" si="1"/>
        <v>273</v>
      </c>
      <c r="M53" t="s">
        <v>635</v>
      </c>
      <c r="N53" t="str">
        <f>IF(I53=ラベル!$G$2,"",CHAR(10)&amp;"【"&amp;C53&amp;"】"&amp;REPT("　",11-LEN(C53))&amp;"●　　　　　"&amp;IF(K53&gt;1,"●","○")&amp;"　　　　　"&amp;IF(K53&gt;2,"●","○")&amp;"　　　　　"&amp;IF(K53&gt;3,"●","○")&amp;"　　 　　"&amp;IF(K53&gt;4,"●","○")&amp;"　 ／")</f>
        <v/>
      </c>
      <c r="O53" t="str">
        <f>IF(I53=ラベル!$G$2,"",CHAR(10)&amp;"【"&amp;M53&amp;"】"&amp;REPT("　",8-LEN(M53))&amp;I53&amp;REPT(" ",22)&amp;L53)</f>
        <v/>
      </c>
      <c r="P53" t="s">
        <v>632</v>
      </c>
      <c r="Q53" t="str">
        <f>IF(I53=ラベル!$G$2,"",CHAR(10)&amp;"【"&amp;M53&amp;"】"&amp;"大成功："&amp;VLOOKUP(I53,固定値!$DT$2:$DV$7,2,FALSE)&amp;"/効果値+"&amp;VLOOKUP(I53,固定値!$DT$2:$DV$7,3,FALSE))</f>
        <v/>
      </c>
    </row>
    <row r="54" spans="3:19">
      <c r="C54" t="s">
        <v>636</v>
      </c>
      <c r="D54" t="s">
        <v>631</v>
      </c>
      <c r="E54">
        <f>IF(COUNTIF(一般技能!$H$51:$H$56,C54)=0,0,VLOOKUP(C54,一般技能!$H$51:$J$56,3,FALSE))</f>
        <v>0</v>
      </c>
      <c r="F54">
        <f>IF(COUNTIF(一般技能!$H$59:$H$82,C54)=0,0,VLOOKUP(C54,一般技能!$H$59:$J$82,3,FALSE))</f>
        <v>0</v>
      </c>
      <c r="G54">
        <f t="shared" si="0"/>
        <v>0</v>
      </c>
      <c r="H54" s="18" t="str">
        <f>VLOOKUP(E54,固定値!$AA$2:$AB$7,2,FALSE)</f>
        <v>－－－</v>
      </c>
      <c r="I54" s="18" t="str">
        <f>VLOOKUP(G54,固定値!$AA$2:$AB$7,2,FALSE)</f>
        <v>－－－</v>
      </c>
      <c r="J54">
        <f>VLOOKUP(I54,固定値!$AG$1:$AI$7,IF(H54=ラベル!$G$2,2,3),FALSE)</f>
        <v>0</v>
      </c>
      <c r="K54">
        <f>VLOOKUP(I54,固定値!$AX$2:$AY$7,2,FALSE)</f>
        <v>0</v>
      </c>
      <c r="L54" t="str">
        <f t="shared" si="1"/>
        <v>273</v>
      </c>
      <c r="M54" t="s">
        <v>636</v>
      </c>
      <c r="N54" t="str">
        <f>IF(I54=ラベル!$G$2,"",CHAR(10)&amp;"【"&amp;C54&amp;"】"&amp;REPT("　",11-LEN(C54))&amp;"●　　　　　"&amp;IF(K54&gt;1,"●","○")&amp;"　　　　　"&amp;IF(K54&gt;2,"●","○")&amp;"　　　　　"&amp;IF(K54&gt;3,"●","○")&amp;"　　 　　"&amp;IF(K54&gt;4,"●","○")&amp;"　 ／")</f>
        <v/>
      </c>
      <c r="O54" t="str">
        <f>IF(I54=ラベル!$G$2,"",CHAR(10)&amp;"【"&amp;M54&amp;"】"&amp;REPT("　",8-LEN(M54))&amp;I54&amp;REPT(" ",22)&amp;L54)</f>
        <v/>
      </c>
      <c r="P54" t="s">
        <v>632</v>
      </c>
      <c r="Q54" t="str">
        <f>IF(I54=ラベル!$G$2,"",CHAR(10)&amp;"【"&amp;M54&amp;"】"&amp;"大成功："&amp;VLOOKUP(I54,固定値!$DT$2:$DV$7,2,FALSE)&amp;"/効果値+"&amp;VLOOKUP(I54,固定値!$DT$2:$DV$7,3,FALSE))</f>
        <v/>
      </c>
    </row>
    <row r="55" spans="3:19">
      <c r="C55" t="s">
        <v>167</v>
      </c>
      <c r="D55" t="s">
        <v>631</v>
      </c>
      <c r="E55">
        <f>IF(COUNTIF(一般技能!$H$51:$H$56,C55)=0,0,VLOOKUP(C55,一般技能!$H$51:$J$56,3,FALSE))</f>
        <v>0</v>
      </c>
      <c r="F55">
        <f>IF(COUNTIF(一般技能!$H$59:$H$82,C55)=0,0,VLOOKUP(C55,一般技能!$H$59:$J$82,3,FALSE))</f>
        <v>0</v>
      </c>
      <c r="G55">
        <f t="shared" si="0"/>
        <v>0</v>
      </c>
      <c r="H55" s="18" t="str">
        <f>VLOOKUP(E55,固定値!$AA$2:$AB$7,2,FALSE)</f>
        <v>－－－</v>
      </c>
      <c r="I55" s="18" t="str">
        <f>VLOOKUP(G55,固定値!$AA$2:$AB$7,2,FALSE)</f>
        <v>－－－</v>
      </c>
      <c r="J55">
        <f>VLOOKUP(I55,固定値!$AG$1:$AI$7,IF(H55=ラベル!$G$2,2,3),FALSE)</f>
        <v>0</v>
      </c>
      <c r="K55">
        <f>VLOOKUP(I55,固定値!$AX$2:$AY$7,2,FALSE)</f>
        <v>0</v>
      </c>
      <c r="L55" t="str">
        <f t="shared" si="1"/>
        <v>273</v>
      </c>
      <c r="M55" t="s">
        <v>167</v>
      </c>
      <c r="N55" t="str">
        <f>IF(I55=ラベル!$G$2,"",CHAR(10)&amp;"【"&amp;C55&amp;"】"&amp;REPT("　",11-LEN(C55))&amp;"●　　　　　"&amp;IF(K55&gt;1,"●","○")&amp;"　　　　　"&amp;IF(K55&gt;2,"●","○")&amp;"　　　　　"&amp;IF(K55&gt;3,"●","○")&amp;"　　 　　"&amp;IF(K55&gt;4,"●","○")&amp;"　 ／")</f>
        <v/>
      </c>
      <c r="O55" t="str">
        <f>IF(I55=ラベル!$G$2,"",CHAR(10)&amp;"【"&amp;M55&amp;"】"&amp;REPT("　",8-LEN(M55))&amp;I55&amp;REPT(" ",22)&amp;L55)</f>
        <v/>
      </c>
      <c r="P55" t="s">
        <v>632</v>
      </c>
    </row>
    <row r="56" spans="3:19">
      <c r="C56" t="s">
        <v>637</v>
      </c>
      <c r="D56" t="s">
        <v>631</v>
      </c>
      <c r="E56">
        <f>IF(COUNTIF(一般技能!$H$51:$H$56,C56)=0,0,VLOOKUP(C56,一般技能!$H$51:$J$56,3,FALSE))</f>
        <v>0</v>
      </c>
      <c r="F56">
        <f>IF(COUNTIF(一般技能!$H$59:$H$82,C56)=0,0,VLOOKUP(C56,一般技能!$H$59:$J$82,3,FALSE))</f>
        <v>0</v>
      </c>
      <c r="G56">
        <f t="shared" si="0"/>
        <v>0</v>
      </c>
      <c r="H56" s="18" t="str">
        <f>VLOOKUP(E56,固定値!$AA$2:$AB$7,2,FALSE)</f>
        <v>－－－</v>
      </c>
      <c r="I56" s="18" t="str">
        <f>VLOOKUP(G56,固定値!$AA$2:$AB$7,2,FALSE)</f>
        <v>－－－</v>
      </c>
      <c r="J56">
        <f>VLOOKUP(I56,固定値!$AG$1:$AI$7,IF(H56=ラベル!$G$2,2,3),FALSE)</f>
        <v>0</v>
      </c>
      <c r="K56">
        <f>VLOOKUP(I56,固定値!$AX$2:$AY$7,2,FALSE)</f>
        <v>0</v>
      </c>
      <c r="L56" t="str">
        <f t="shared" si="1"/>
        <v>273</v>
      </c>
      <c r="M56" t="s">
        <v>638</v>
      </c>
      <c r="N56" t="str">
        <f>IF(I56=ラベル!$G$2,"",CHAR(10)&amp;"【"&amp;C56&amp;"】"&amp;REPT("　",11-LEN(C56))&amp;"●　　　　　"&amp;IF(K56&gt;1,"●","○")&amp;"　　　　　"&amp;IF(K56&gt;2,"●","○")&amp;"　　　　　"&amp;IF(K56&gt;3,"●","○")&amp;"　　 　　"&amp;IF(K56&gt;4,"●","○")&amp;"　 ／")</f>
        <v/>
      </c>
      <c r="O56" t="str">
        <f>IF(I56=ラベル!$G$2,"",CHAR(10)&amp;"【"&amp;M56&amp;"】"&amp;REPT("　",8-LEN(M56))&amp;I56&amp;REPT(" ",22)&amp;L56)</f>
        <v/>
      </c>
      <c r="P56" t="s">
        <v>632</v>
      </c>
      <c r="Q56" t="str">
        <f>IF(I56=ラベル!$G$2,"",CHAR(10)&amp;"【"&amp;M56&amp;"】"&amp;"+"&amp;K56)</f>
        <v/>
      </c>
    </row>
    <row r="57" spans="3:19">
      <c r="C57" t="s">
        <v>639</v>
      </c>
      <c r="D57" t="s">
        <v>631</v>
      </c>
      <c r="E57">
        <f>IF(COUNTIF(一般技能!$H$51:$H$56,C57)=0,0,VLOOKUP(C57,一般技能!$H$51:$J$56,3,FALSE))</f>
        <v>0</v>
      </c>
      <c r="F57">
        <f>IF(COUNTIF(一般技能!$H$59:$H$82,C57)=0,0,VLOOKUP(C57,一般技能!$H$59:$J$82,3,FALSE))</f>
        <v>0</v>
      </c>
      <c r="G57">
        <f t="shared" si="0"/>
        <v>0</v>
      </c>
      <c r="H57" s="18" t="str">
        <f>VLOOKUP(E57,固定値!$AA$2:$AB$7,2,FALSE)</f>
        <v>－－－</v>
      </c>
      <c r="I57" s="18" t="str">
        <f>VLOOKUP(G57,固定値!$AA$2:$AB$7,2,FALSE)</f>
        <v>－－－</v>
      </c>
      <c r="J57">
        <f>VLOOKUP(I57,固定値!$AG$1:$AI$7,IF(H57=ラベル!$G$2,2,3),FALSE)</f>
        <v>0</v>
      </c>
      <c r="K57">
        <f>VLOOKUP(I57,固定値!$AX$2:$AY$7,2,FALSE)</f>
        <v>0</v>
      </c>
      <c r="L57" t="str">
        <f t="shared" si="1"/>
        <v>273</v>
      </c>
      <c r="M57" t="s">
        <v>640</v>
      </c>
      <c r="N57" t="str">
        <f>IF(I57=ラベル!$G$2,"",CHAR(10)&amp;"【"&amp;C57&amp;"】"&amp;REPT("　",11-LEN(C57))&amp;"●　　　　　"&amp;IF(K57&gt;1,"●","○")&amp;"　　　　　"&amp;IF(K57&gt;2,"●","○")&amp;"　　　　　"&amp;IF(K57&gt;3,"●","○")&amp;"　　 　　"&amp;IF(K57&gt;4,"●","○")&amp;"　 ／")</f>
        <v/>
      </c>
      <c r="O57" t="str">
        <f>IF(I57=ラベル!$G$2,"",CHAR(10)&amp;"【"&amp;M57&amp;"】"&amp;REPT("　",8-LEN(M57))&amp;I57&amp;REPT(" ",22)&amp;L57)</f>
        <v/>
      </c>
      <c r="P57" t="s">
        <v>632</v>
      </c>
      <c r="Q57" t="str">
        <f>IF(I57=ラベル!$G$2,"",CHAR(10)&amp;"【"&amp;M57&amp;"】"&amp;"+"&amp;K57)</f>
        <v/>
      </c>
    </row>
    <row r="58" spans="3:19">
      <c r="C58" t="s">
        <v>641</v>
      </c>
      <c r="D58" t="s">
        <v>631</v>
      </c>
      <c r="E58">
        <f>IF(COUNTIF(一般技能!$H$51:$H$56,C58)=0,0,VLOOKUP(C58,一般技能!$H$51:$J$56,3,FALSE))</f>
        <v>0</v>
      </c>
      <c r="F58">
        <f>IF(COUNTIF(一般技能!$H$59:$H$82,C58)=0,0,VLOOKUP(C58,一般技能!$H$59:$J$82,3,FALSE))</f>
        <v>0</v>
      </c>
      <c r="G58">
        <f t="shared" si="0"/>
        <v>0</v>
      </c>
      <c r="H58" s="18" t="str">
        <f>VLOOKUP(E58,固定値!$AA$2:$AB$7,2,FALSE)</f>
        <v>－－－</v>
      </c>
      <c r="I58" s="18" t="str">
        <f>VLOOKUP(G58,固定値!$AA$2:$AB$7,2,FALSE)</f>
        <v>－－－</v>
      </c>
      <c r="J58">
        <f>VLOOKUP(I58,固定値!$AG$1:$AI$7,IF(H58=ラベル!$G$2,2,3),FALSE)</f>
        <v>0</v>
      </c>
      <c r="K58">
        <f>VLOOKUP(I58,固定値!$AX$2:$AY$7,2,FALSE)</f>
        <v>0</v>
      </c>
      <c r="L58" t="str">
        <f t="shared" si="1"/>
        <v>273</v>
      </c>
      <c r="M58" t="s">
        <v>642</v>
      </c>
      <c r="N58" t="str">
        <f>IF(I58=ラベル!$G$2,"",CHAR(10)&amp;"【"&amp;C58&amp;"】"&amp;REPT("　",11-LEN(C58))&amp;"●　　　　　"&amp;IF(K58&gt;1,"●","○")&amp;"　　　　　"&amp;IF(K58&gt;2,"●","○")&amp;"　　　　　"&amp;IF(K58&gt;3,"●","○")&amp;"　　 　　"&amp;IF(K58&gt;4,"●","○")&amp;"　 ／")</f>
        <v/>
      </c>
      <c r="O58" t="str">
        <f>IF(I58=ラベル!$G$2,"",CHAR(10)&amp;"【"&amp;M58&amp;"】"&amp;REPT("　",8-LEN(M58))&amp;I58&amp;REPT(" ",22)&amp;L58)</f>
        <v/>
      </c>
      <c r="P58" t="s">
        <v>632</v>
      </c>
      <c r="Q58" t="str">
        <f>IF(I58=ラベル!$G$2,"",CHAR(10)&amp;"【"&amp;M58&amp;"】"&amp;"+"&amp;K58)</f>
        <v/>
      </c>
    </row>
    <row r="59" spans="3:19">
      <c r="C59" t="s">
        <v>643</v>
      </c>
      <c r="D59" t="s">
        <v>631</v>
      </c>
      <c r="E59">
        <f>IF(COUNTIF(一般技能!$H$51:$H$56,C59)=0,0,VLOOKUP(C59,一般技能!$H$51:$J$56,3,FALSE))</f>
        <v>0</v>
      </c>
      <c r="F59">
        <f>IF(COUNTIF(一般技能!$H$59:$H$82,C59)=0,0,VLOOKUP(C59,一般技能!$H$59:$J$82,3,FALSE))</f>
        <v>0</v>
      </c>
      <c r="G59">
        <f t="shared" si="0"/>
        <v>0</v>
      </c>
      <c r="H59" s="18" t="str">
        <f>VLOOKUP(E59,固定値!$AA$2:$AB$7,2,FALSE)</f>
        <v>－－－</v>
      </c>
      <c r="I59" s="18" t="str">
        <f>VLOOKUP(G59,固定値!$AA$2:$AB$7,2,FALSE)</f>
        <v>－－－</v>
      </c>
      <c r="J59">
        <f>VLOOKUP(I59,固定値!$AG$1:$AI$7,IF(H59=ラベル!$G$2,2,3),FALSE)</f>
        <v>0</v>
      </c>
      <c r="K59">
        <f>VLOOKUP(I59,固定値!$AX$2:$AY$7,2,FALSE)</f>
        <v>0</v>
      </c>
      <c r="L59" t="str">
        <f t="shared" si="1"/>
        <v>273</v>
      </c>
      <c r="M59" t="s">
        <v>644</v>
      </c>
      <c r="N59" t="str">
        <f>IF(I59=ラベル!$G$2,"",CHAR(10)&amp;"【"&amp;C59&amp;"】"&amp;REPT("　",11-LEN(C59))&amp;"●　　　　　"&amp;IF(K59&gt;1,"●","○")&amp;"　　　　　"&amp;IF(K59&gt;2,"●","○")&amp;"　　　　　"&amp;IF(K59&gt;3,"●","○")&amp;"　　 　　"&amp;IF(K59&gt;4,"●","○")&amp;"　 ／")</f>
        <v/>
      </c>
      <c r="O59" t="str">
        <f>IF(I59=ラベル!$G$2,"",CHAR(10)&amp;"【"&amp;M59&amp;"】"&amp;REPT("　",8-LEN(M59))&amp;I59&amp;REPT(" ",22)&amp;L59)</f>
        <v/>
      </c>
      <c r="P59" t="s">
        <v>632</v>
      </c>
      <c r="Q59" t="str">
        <f>IF(I59=ラベル!$G$2,"",CHAR(10)&amp;"【"&amp;M59&amp;"】"&amp;"+"&amp;K59)</f>
        <v/>
      </c>
    </row>
    <row r="60" spans="3:19">
      <c r="C60" t="s">
        <v>645</v>
      </c>
      <c r="D60" t="s">
        <v>631</v>
      </c>
      <c r="E60">
        <f>IF(COUNTIF(一般技能!$H$51:$H$56,C60)=0,0,VLOOKUP(C60,一般技能!$H$51:$J$56,3,FALSE))</f>
        <v>0</v>
      </c>
      <c r="F60">
        <f>IF(COUNTIF(一般技能!$H$59:$H$82,C60)=0,0,VLOOKUP(C60,一般技能!$H$59:$J$82,3,FALSE))</f>
        <v>0</v>
      </c>
      <c r="G60">
        <f t="shared" si="0"/>
        <v>0</v>
      </c>
      <c r="H60" s="18" t="str">
        <f>VLOOKUP(E60,固定値!$AA$2:$AB$7,2,FALSE)</f>
        <v>－－－</v>
      </c>
      <c r="I60" s="18" t="str">
        <f>VLOOKUP(G60,固定値!$AA$2:$AB$7,2,FALSE)</f>
        <v>－－－</v>
      </c>
      <c r="J60">
        <f>VLOOKUP(I60,固定値!$AG$1:$AI$7,IF(H60=ラベル!$G$2,2,3),FALSE)</f>
        <v>0</v>
      </c>
      <c r="K60">
        <f>VLOOKUP(I60,固定値!$AX$2:$AY$7,2,FALSE)</f>
        <v>0</v>
      </c>
      <c r="L60" t="str">
        <f t="shared" si="1"/>
        <v>273</v>
      </c>
      <c r="M60" t="s">
        <v>646</v>
      </c>
      <c r="N60" t="str">
        <f>IF(I60=ラベル!$G$2,"",CHAR(10)&amp;"【"&amp;C60&amp;"】"&amp;REPT("　",11-LEN(C60))&amp;"●　　　　　"&amp;IF(K60&gt;1,"●","○")&amp;"　　　　　"&amp;IF(K60&gt;2,"●","○")&amp;"　　　　　"&amp;IF(K60&gt;3,"●","○")&amp;"　　 　　"&amp;IF(K60&gt;4,"●","○")&amp;"　 ／")</f>
        <v/>
      </c>
      <c r="O60" t="str">
        <f>IF(I60=ラベル!$G$2,"",CHAR(10)&amp;"【"&amp;M60&amp;"】"&amp;REPT("　",8-LEN(M60))&amp;I60&amp;REPT(" ",22)&amp;L60)</f>
        <v/>
      </c>
      <c r="P60" t="s">
        <v>632</v>
      </c>
      <c r="Q60" t="str">
        <f>IF(I60=ラベル!$G$2,"",CHAR(10)&amp;"【"&amp;M60&amp;"】"&amp;"+"&amp;K60)</f>
        <v/>
      </c>
    </row>
    <row r="61" spans="3:19">
      <c r="C61" t="s">
        <v>647</v>
      </c>
      <c r="D61" t="s">
        <v>631</v>
      </c>
      <c r="E61">
        <f>IF(COUNTIF(一般技能!$H$51:$H$56,C61)=0,0,VLOOKUP(C61,一般技能!$H$51:$J$56,3,FALSE))</f>
        <v>0</v>
      </c>
      <c r="F61">
        <f>IF(COUNTIF(一般技能!$H$59:$H$82,C61)=0,0,VLOOKUP(C61,一般技能!$H$59:$J$82,3,FALSE))</f>
        <v>0</v>
      </c>
      <c r="G61">
        <f t="shared" si="0"/>
        <v>0</v>
      </c>
      <c r="H61" s="18" t="str">
        <f>VLOOKUP(E61,固定値!$AA$2:$AB$7,2,FALSE)</f>
        <v>－－－</v>
      </c>
      <c r="I61" s="18" t="str">
        <f>VLOOKUP(G61,固定値!$AA$2:$AB$7,2,FALSE)</f>
        <v>－－－</v>
      </c>
      <c r="J61">
        <f>VLOOKUP(I61,固定値!$AG$1:$AI$7,IF(H61=ラベル!$G$2,2,3),FALSE)</f>
        <v>0</v>
      </c>
      <c r="K61">
        <f>VLOOKUP(I61,固定値!$AX$2:$AY$7,2,FALSE)</f>
        <v>0</v>
      </c>
      <c r="L61" t="str">
        <f t="shared" si="1"/>
        <v>273</v>
      </c>
      <c r="M61" t="s">
        <v>648</v>
      </c>
      <c r="N61" t="str">
        <f>IF(I61=ラベル!$G$2,"",CHAR(10)&amp;"【"&amp;C61&amp;"】"&amp;REPT("　",11-LEN(C61))&amp;"●　　　　　"&amp;IF(K61&gt;1,"●","○")&amp;"　　　　　"&amp;IF(K61&gt;2,"●","○")&amp;"　　　　　"&amp;IF(K61&gt;3,"●","○")&amp;"　　 　　"&amp;IF(K61&gt;4,"●","○")&amp;"　 ／")</f>
        <v/>
      </c>
      <c r="O61" t="str">
        <f>IF(I61=ラベル!$G$2,"",CHAR(10)&amp;"【"&amp;M61&amp;"】"&amp;REPT("　",8-LEN(M61))&amp;I61&amp;REPT(" ",22)&amp;L61)</f>
        <v/>
      </c>
      <c r="P61" t="s">
        <v>632</v>
      </c>
      <c r="Q61" t="str">
        <f>IF(I61=ラベル!$G$2,"",CHAR(10)&amp;"【"&amp;M61&amp;"】"&amp;"+"&amp;K61)</f>
        <v/>
      </c>
    </row>
    <row r="62" spans="3:19">
      <c r="C62" t="s">
        <v>649</v>
      </c>
      <c r="D62" t="s">
        <v>631</v>
      </c>
      <c r="E62">
        <f>IF(COUNTIF(一般技能!$H$51:$H$56,C62)=0,0,VLOOKUP(C62,一般技能!$H$51:$J$56,3,FALSE))</f>
        <v>0</v>
      </c>
      <c r="F62">
        <f>IF(COUNTIF(一般技能!$H$59:$H$82,C62)=0,0,VLOOKUP(C62,一般技能!$H$59:$J$82,3,FALSE))</f>
        <v>0</v>
      </c>
      <c r="G62">
        <f t="shared" si="0"/>
        <v>0</v>
      </c>
      <c r="H62" s="18" t="str">
        <f>VLOOKUP(E62,固定値!$AA$2:$AB$7,2,FALSE)</f>
        <v>－－－</v>
      </c>
      <c r="I62" s="18" t="str">
        <f>VLOOKUP(G62,固定値!$AA$2:$AB$7,2,FALSE)</f>
        <v>－－－</v>
      </c>
      <c r="J62">
        <f>VLOOKUP(I62,固定値!$AG$1:$AI$7,IF(H62=ラベル!$G$2,2,3),FALSE)</f>
        <v>0</v>
      </c>
      <c r="K62">
        <f>VLOOKUP(I62,固定値!$AX$2:$AY$7,2,FALSE)</f>
        <v>0</v>
      </c>
      <c r="L62" t="str">
        <f t="shared" si="1"/>
        <v>274</v>
      </c>
      <c r="M62" t="s">
        <v>649</v>
      </c>
      <c r="N62" t="str">
        <f>IF(I62=ラベル!$G$2,"",CHAR(10)&amp;"【"&amp;C62&amp;"】"&amp;REPT("　",11-LEN(C62))&amp;"●　　　　　"&amp;IF(K62&gt;1,"●","○")&amp;"　　　　　"&amp;IF(K62&gt;2,"●","○")&amp;"　　　　　"&amp;IF(K62&gt;3,"●","○")&amp;"　　 　　"&amp;IF(K62&gt;4,"●","○")&amp;"　 ／")</f>
        <v/>
      </c>
      <c r="O62" t="str">
        <f>IF(I62=ラベル!$G$2,"",CHAR(10)&amp;"【"&amp;M62&amp;"】"&amp;REPT("　",8-LEN(M62))&amp;I62&amp;REPT(" ",22)&amp;L62)</f>
        <v/>
      </c>
      <c r="P62" t="s">
        <v>650</v>
      </c>
    </row>
    <row r="63" spans="3:19">
      <c r="C63" t="s">
        <v>651</v>
      </c>
      <c r="D63" t="s">
        <v>631</v>
      </c>
      <c r="E63">
        <f>IF(COUNTIF(一般技能!$H$51:$H$56,C63)=0,0,VLOOKUP(C63,一般技能!$H$51:$J$56,3,FALSE))</f>
        <v>0</v>
      </c>
      <c r="F63">
        <f>IF(COUNTIF(一般技能!$H$59:$H$82,C63)=0,0,VLOOKUP(C63,一般技能!$H$59:$J$82,3,FALSE))</f>
        <v>0</v>
      </c>
      <c r="G63">
        <f t="shared" si="0"/>
        <v>0</v>
      </c>
      <c r="H63" s="18" t="str">
        <f>VLOOKUP(E63,固定値!$AA$2:$AB$7,2,FALSE)</f>
        <v>－－－</v>
      </c>
      <c r="I63" s="18" t="str">
        <f>VLOOKUP(G63,固定値!$AA$2:$AB$7,2,FALSE)</f>
        <v>－－－</v>
      </c>
      <c r="J63">
        <f>VLOOKUP(I63,固定値!$AG$1:$AI$7,IF(H63=ラベル!$G$2,2,3),FALSE)</f>
        <v>0</v>
      </c>
      <c r="K63">
        <f>VLOOKUP(I63,固定値!$AX$2:$AY$7,2,FALSE)</f>
        <v>0</v>
      </c>
      <c r="L63" t="str">
        <f t="shared" si="1"/>
        <v>275</v>
      </c>
      <c r="M63" t="s">
        <v>652</v>
      </c>
      <c r="N63" t="str">
        <f>IF(I63=ラベル!$G$2,"",CHAR(10)&amp;"【"&amp;C63&amp;"】"&amp;REPT("　",11-LEN(C63))&amp;"●　　　　　"&amp;IF(K63&gt;1,"●","○")&amp;"　　　　　"&amp;IF(K63&gt;2,"●","○")&amp;"　　　　　"&amp;IF(K63&gt;3,"●","○")&amp;"　　 　　"&amp;IF(K63&gt;4,"●","○")&amp;"　 ／")</f>
        <v/>
      </c>
      <c r="O63" t="str">
        <f>IF(I63=ラベル!$G$2,"",CHAR(10)&amp;"【"&amp;M63&amp;"】"&amp;REPT("　",8-LEN(M63))&amp;I63&amp;REPT(" ",22)&amp;L63)</f>
        <v/>
      </c>
      <c r="P63" t="s">
        <v>653</v>
      </c>
    </row>
    <row r="64" spans="3:19">
      <c r="C64" t="s">
        <v>654</v>
      </c>
      <c r="D64" t="s">
        <v>631</v>
      </c>
      <c r="E64">
        <f>IF(COUNTIF(一般技能!$H$51:$H$56,C64)=0,0,VLOOKUP(C64,一般技能!$H$51:$J$56,3,FALSE))</f>
        <v>0</v>
      </c>
      <c r="F64">
        <f>IF(COUNTIF(一般技能!$H$59:$H$82,C64)=0,0,VLOOKUP(C64,一般技能!$H$59:$J$82,3,FALSE))</f>
        <v>0</v>
      </c>
      <c r="G64">
        <f t="shared" si="0"/>
        <v>0</v>
      </c>
      <c r="H64" s="18" t="str">
        <f>VLOOKUP(E64,固定値!$AA$2:$AB$7,2,FALSE)</f>
        <v>－－－</v>
      </c>
      <c r="I64" s="18" t="str">
        <f>VLOOKUP(G64,固定値!$AA$2:$AB$7,2,FALSE)</f>
        <v>－－－</v>
      </c>
      <c r="J64">
        <f>VLOOKUP(I64,固定値!$AG$1:$AI$7,IF(H64=ラベル!$G$2,2,3),FALSE)</f>
        <v>0</v>
      </c>
      <c r="K64">
        <f>VLOOKUP(I64,固定値!$AX$2:$AY$7,2,FALSE)</f>
        <v>0</v>
      </c>
      <c r="L64" t="str">
        <f t="shared" si="1"/>
        <v>275</v>
      </c>
      <c r="M64" t="s">
        <v>655</v>
      </c>
      <c r="N64" t="str">
        <f>IF(I64=ラベル!$G$2,"",CHAR(10)&amp;"【"&amp;C64&amp;"】"&amp;REPT("　",11-LEN(C64))&amp;"●　　　　　"&amp;IF(K64&gt;1,"●","○")&amp;"　　　　　"&amp;IF(K64&gt;2,"●","○")&amp;"　　　　　"&amp;IF(K64&gt;3,"●","○")&amp;"　　 　　"&amp;IF(K64&gt;4,"●","○")&amp;"　 ／")</f>
        <v/>
      </c>
      <c r="O64" t="str">
        <f>IF(I64=ラベル!$G$2,"",CHAR(10)&amp;"【"&amp;M64&amp;"】"&amp;REPT("　",8-LEN(M64))&amp;I64&amp;REPT(" ",22)&amp;L64)</f>
        <v/>
      </c>
      <c r="P64" t="s">
        <v>653</v>
      </c>
    </row>
    <row r="65" spans="3:16">
      <c r="C65" t="s">
        <v>656</v>
      </c>
      <c r="D65" t="s">
        <v>631</v>
      </c>
      <c r="E65">
        <f>IF(COUNTIF(一般技能!$H$51:$H$56,C65)=0,0,VLOOKUP(C65,一般技能!$H$51:$J$56,3,FALSE))</f>
        <v>0</v>
      </c>
      <c r="F65">
        <f>IF(COUNTIF(一般技能!$H$59:$H$82,C65)=0,0,VLOOKUP(C65,一般技能!$H$59:$J$82,3,FALSE))</f>
        <v>0</v>
      </c>
      <c r="G65">
        <f t="shared" si="0"/>
        <v>0</v>
      </c>
      <c r="H65" s="18" t="str">
        <f>VLOOKUP(E65,固定値!$AA$2:$AB$7,2,FALSE)</f>
        <v>－－－</v>
      </c>
      <c r="I65" s="18" t="str">
        <f>VLOOKUP(G65,固定値!$AA$2:$AB$7,2,FALSE)</f>
        <v>－－－</v>
      </c>
      <c r="J65">
        <f>VLOOKUP(I65,固定値!$AG$1:$AI$7,IF(H65=ラベル!$G$2,2,3),FALSE)</f>
        <v>0</v>
      </c>
      <c r="K65">
        <f>VLOOKUP(I65,固定値!$AX$2:$AY$7,2,FALSE)</f>
        <v>0</v>
      </c>
      <c r="L65" t="str">
        <f t="shared" si="1"/>
        <v>275</v>
      </c>
      <c r="M65" t="s">
        <v>657</v>
      </c>
      <c r="N65" t="str">
        <f>IF(I65=ラベル!$G$2,"",CHAR(10)&amp;"【"&amp;C65&amp;"】"&amp;REPT("　",11-LEN(C65))&amp;"●　　　　　"&amp;IF(K65&gt;1,"●","○")&amp;"　　　　　"&amp;IF(K65&gt;2,"●","○")&amp;"　　　　　"&amp;IF(K65&gt;3,"●","○")&amp;"　　 　　"&amp;IF(K65&gt;4,"●","○")&amp;"　 ／")</f>
        <v/>
      </c>
      <c r="O65" t="str">
        <f>IF(I65=ラベル!$G$2,"",CHAR(10)&amp;"【"&amp;M65&amp;"】"&amp;REPT("　",8-LEN(M65))&amp;I65&amp;REPT(" ",22)&amp;L65)</f>
        <v/>
      </c>
      <c r="P65" t="s">
        <v>653</v>
      </c>
    </row>
    <row r="66" spans="3:16">
      <c r="C66" t="s">
        <v>658</v>
      </c>
      <c r="D66" t="s">
        <v>631</v>
      </c>
      <c r="E66">
        <f>IF(COUNTIF(一般技能!$H$51:$H$56,C66)=0,0,VLOOKUP(C66,一般技能!$H$51:$J$56,3,FALSE))</f>
        <v>0</v>
      </c>
      <c r="F66">
        <f>IF(COUNTIF(一般技能!$H$59:$H$82,C66)=0,0,VLOOKUP(C66,一般技能!$H$59:$J$82,3,FALSE))</f>
        <v>0</v>
      </c>
      <c r="G66">
        <f t="shared" si="0"/>
        <v>0</v>
      </c>
      <c r="H66" s="18" t="str">
        <f>VLOOKUP(E66,固定値!$AA$2:$AB$7,2,FALSE)</f>
        <v>－－－</v>
      </c>
      <c r="I66" s="18" t="str">
        <f>VLOOKUP(G66,固定値!$AA$2:$AB$7,2,FALSE)</f>
        <v>－－－</v>
      </c>
      <c r="J66">
        <f>VLOOKUP(I66,固定値!$AG$1:$AI$7,IF(H66=ラベル!$G$2,2,3),FALSE)</f>
        <v>0</v>
      </c>
      <c r="K66">
        <f>VLOOKUP(I66,固定値!$AX$2:$AY$7,2,FALSE)</f>
        <v>0</v>
      </c>
      <c r="L66" t="str">
        <f t="shared" si="1"/>
        <v>275</v>
      </c>
      <c r="M66" t="s">
        <v>659</v>
      </c>
      <c r="N66" t="str">
        <f>IF(I66=ラベル!$G$2,"",CHAR(10)&amp;"【"&amp;C66&amp;"】"&amp;REPT("　",11-LEN(C66))&amp;"●　　　　　"&amp;IF(K66&gt;1,"●","○")&amp;"　　　　　"&amp;IF(K66&gt;2,"●","○")&amp;"　　　　　"&amp;IF(K66&gt;3,"●","○")&amp;"　　 　　"&amp;IF(K66&gt;4,"●","○")&amp;"　 ／")</f>
        <v/>
      </c>
      <c r="O66" t="str">
        <f>IF(I66=ラベル!$G$2,"",CHAR(10)&amp;"【"&amp;M66&amp;"】"&amp;REPT("　",8-LEN(M66))&amp;I66&amp;REPT(" ",22)&amp;L66)</f>
        <v/>
      </c>
      <c r="P66" t="s">
        <v>653</v>
      </c>
    </row>
    <row r="67" spans="3:16">
      <c r="C67" t="s">
        <v>660</v>
      </c>
      <c r="D67" t="s">
        <v>631</v>
      </c>
      <c r="E67">
        <f>IF(COUNTIF(一般技能!$H$51:$H$56,C67)=0,0,VLOOKUP(C67,一般技能!$H$51:$J$56,3,FALSE))</f>
        <v>0</v>
      </c>
      <c r="F67">
        <f>IF(COUNTIF(一般技能!$H$59:$H$82,C67)=0,0,VLOOKUP(C67,一般技能!$H$59:$J$82,3,FALSE))</f>
        <v>0</v>
      </c>
      <c r="G67">
        <f t="shared" si="0"/>
        <v>0</v>
      </c>
      <c r="H67" s="18" t="str">
        <f>VLOOKUP(E67,固定値!$AA$2:$AB$7,2,FALSE)</f>
        <v>－－－</v>
      </c>
      <c r="I67" s="18" t="str">
        <f>VLOOKUP(G67,固定値!$AA$2:$AB$7,2,FALSE)</f>
        <v>－－－</v>
      </c>
      <c r="J67">
        <f>VLOOKUP(I67,固定値!$AG$1:$AI$7,IF(H67=ラベル!$G$2,2,3),FALSE)</f>
        <v>0</v>
      </c>
      <c r="K67">
        <f>VLOOKUP(I67,固定値!$AX$2:$AY$7,2,FALSE)</f>
        <v>0</v>
      </c>
      <c r="L67" t="str">
        <f t="shared" si="1"/>
        <v>275</v>
      </c>
      <c r="M67" t="s">
        <v>660</v>
      </c>
      <c r="N67" t="str">
        <f>IF(I67=ラベル!$G$2,"",CHAR(10)&amp;"【"&amp;C67&amp;"】"&amp;REPT("　",11-LEN(C67))&amp;"●　　　　　"&amp;IF(K67&gt;1,"●","○")&amp;"　　　　　"&amp;IF(K67&gt;2,"●","○")&amp;"　　　　　"&amp;IF(K67&gt;3,"●","○")&amp;"　　 　　"&amp;IF(K67&gt;4,"●","○")&amp;"　 ／")</f>
        <v/>
      </c>
      <c r="O67" t="str">
        <f>IF(I67=ラベル!$G$2,"",CHAR(10)&amp;"【"&amp;M67&amp;"】"&amp;REPT("　",8-LEN(M67))&amp;I67&amp;REPT(" ",22)&amp;L67)</f>
        <v/>
      </c>
      <c r="P67" t="s">
        <v>653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9A28F63F-FC44-4A3F-8A5F-52C2E6A8429A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8" operator="equal" id="{D96DE3FC-049E-4A3C-A473-B774F6EC535F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9" operator="equal" id="{B607FF45-9BAF-4E6D-8F78-B412545318DD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" operator="equal" id="{7171BCB1-CEC3-4CC0-A75E-5CE961405499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394A8A42-9124-4463-9793-5FEDAF48D592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" operator="equal" id="{21FB6600-BC99-48CC-AB86-3EF62E295518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H3:I3</xm:sqref>
        </x14:conditionalFormatting>
        <x14:conditionalFormatting xmlns:xm="http://schemas.microsoft.com/office/excel/2006/main">
          <x14:cfRule type="cellIs" priority="1" operator="equal" id="{D391E151-E9B9-4165-A430-9EE5FB6ABADE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2" operator="equal" id="{81A6F8C6-F175-44E8-8831-4CEAE762EFB3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3" operator="equal" id="{1D1C3778-E77D-480B-BF7D-595D8D009B6D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" operator="equal" id="{73258092-7F1C-44D2-B6BC-C40B3419CF5F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" operator="equal" id="{42C91726-66EE-4567-A9E5-0ADA017FD5E5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" operator="equal" id="{A9BC055C-B71D-464C-BB4A-BBB3B9A8267C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H4:I67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ラベル!$F$2:$F$3</xm:f>
          </x14:formula1>
          <xm:sqref>H3:H67</xm:sqref>
        </x14:dataValidation>
        <x14:dataValidation type="list" allowBlank="1" showInputMessage="1" showErrorMessage="1">
          <x14:formula1>
            <xm:f>ラベル!$H$2:$H$5</xm:f>
          </x14:formula1>
          <xm:sqref>I3:I67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N82"/>
  <sheetViews>
    <sheetView topLeftCell="C1" workbookViewId="0">
      <selection activeCell="K51" sqref="K50:K51"/>
    </sheetView>
  </sheetViews>
  <sheetFormatPr defaultRowHeight="13"/>
  <cols>
    <col min="2" max="2" width="19.90625" bestFit="1" customWidth="1"/>
    <col min="3" max="5" width="19.90625" customWidth="1"/>
    <col min="6" max="6" width="18.453125" bestFit="1" customWidth="1"/>
    <col min="11" max="11" width="68.36328125" customWidth="1"/>
    <col min="12" max="12" width="51.08984375" customWidth="1"/>
    <col min="13" max="13" width="50.08984375" customWidth="1"/>
    <col min="14" max="14" width="37.453125" customWidth="1"/>
  </cols>
  <sheetData>
    <row r="1" spans="2:14" ht="89.5" customHeight="1">
      <c r="K1" s="6" t="str">
        <f xml:space="preserve">
K3&amp;K4&amp;K5&amp;K6&amp;K8&amp;K9&amp;K10&amp;K11&amp;
K12&amp;K13&amp;K14&amp;K15&amp;K16&amp;K17&amp;K18&amp;K19&amp;K20&amp;K21&amp;
K22&amp;K23&amp;K24&amp;K25&amp;K26&amp;K27&amp;K28&amp;K29&amp;K30&amp;K31&amp;
K32&amp;K33&amp;K34&amp;K35&amp;K36&amp;K37&amp;K38&amp;K39&amp;K40&amp;K41&amp;
K42&amp;K43&amp;K44&amp;K45&amp;K46&amp;K47</f>
        <v xml:space="preserve">
【騎乗】　　　　　　　　　●　　　　　○　　　　　○　 ／
【長距離移動】　　　　　　●　　　　　○　　　　　○　 ／</v>
      </c>
      <c r="L1" s="6" t="str">
        <f xml:space="preserve">
L3&amp;L4&amp;L5&amp;L6&amp;L8&amp;L9&amp;L10&amp;L11&amp;
L12&amp;L13&amp;L14&amp;L15&amp;L16&amp;L17&amp;L18&amp;L19&amp;L20&amp;L21&amp;
L22&amp;L23&amp;L24&amp;L25&amp;L26&amp;L27&amp;L28&amp;L29&amp;L30&amp;L31&amp;
L32&amp;L33&amp;L34&amp;L35&amp;L36&amp;L37&amp;L38&amp;L39&amp;L40&amp;L41&amp;
L42&amp;L43&amp;L44&amp;L45&amp;L46&amp;L47</f>
        <v xml:space="preserve">
【騎乗】　　　　　　初歩                      289
【長距離移動】　　　初歩                      289</v>
      </c>
      <c r="M1" s="6" t="str">
        <f>MID(L1,1,114)</f>
        <v xml:space="preserve">
【騎乗】　　　　　　初歩                      289
【長距離移動】　　　初歩                      289</v>
      </c>
      <c r="N1" s="6" t="str">
        <f>MID(L1,115,114)</f>
        <v/>
      </c>
    </row>
    <row r="2" spans="2:14">
      <c r="B2" t="s">
        <v>661</v>
      </c>
      <c r="F2" t="s">
        <v>566</v>
      </c>
      <c r="G2" t="s">
        <v>567</v>
      </c>
      <c r="H2" t="s">
        <v>541</v>
      </c>
      <c r="I2" t="s">
        <v>388</v>
      </c>
      <c r="J2" t="s">
        <v>564</v>
      </c>
      <c r="M2" t="s">
        <v>564</v>
      </c>
    </row>
    <row r="3" spans="2:14">
      <c r="B3" t="s">
        <v>662</v>
      </c>
      <c r="C3">
        <f>IF(COUNTIF($H$51:$H$56,B3)=0,0,VLOOKUP(B3,$H$51:$J$56,3,FALSE))</f>
        <v>0</v>
      </c>
      <c r="D3">
        <f>IF(COUNTIF($H$59:$H$82,B3)=0,0,VLOOKUP(B3,$H$59:$J$82,3,FALSE))</f>
        <v>0</v>
      </c>
      <c r="E3">
        <f>MAX(C3:D3)</f>
        <v>0</v>
      </c>
      <c r="F3" s="18" t="str">
        <f>VLOOKUP(C3,固定値!$AA$2:$AB$7,2,FALSE)</f>
        <v>－－－</v>
      </c>
      <c r="G3" s="18" t="str">
        <f>VLOOKUP(E3,固定値!$AA$2:$AB$7,2,FALSE)</f>
        <v>－－－</v>
      </c>
      <c r="H3">
        <f>VLOOKUP(G3,固定値!$AK$2:$AM$5,IF(F3=ラベル!$G$2,2,3),FALSE)</f>
        <v>0</v>
      </c>
      <c r="I3">
        <f>VLOOKUP(G3,固定値!$AX$2:$AZ$7,3,FALSE)</f>
        <v>0</v>
      </c>
      <c r="J3" t="str">
        <f>LEFT(M3,3)</f>
        <v>292</v>
      </c>
      <c r="K3" t="str">
        <f>IF(G3=ラベル!$G$2,"",CHAR(10)&amp;"【"&amp;B3&amp;"】"&amp;REPT("　",11-LEN(B3))&amp;"●　　　　　"&amp;IF(I3&gt;1,"●","○")&amp;"　　　　　"&amp;IF(I3&gt;2,"●","○")&amp;"　 ／")</f>
        <v/>
      </c>
      <c r="L3" t="str">
        <f>IF(G3=ラベル!$G$2,"",CHAR(10)&amp;"【"&amp;B3&amp;"】"&amp;REPT("　",8-LEN(B3))&amp;G3&amp;REPT(" ",22)&amp;J3)</f>
        <v/>
      </c>
      <c r="M3" t="s">
        <v>663</v>
      </c>
    </row>
    <row r="4" spans="2:14">
      <c r="B4" t="s">
        <v>664</v>
      </c>
      <c r="C4">
        <f t="shared" ref="C4:C47" si="0">IF(COUNTIF($H$51:$H$56,B4)=0,0,VLOOKUP(B4,$H$51:$J$56,3,FALSE))</f>
        <v>0</v>
      </c>
      <c r="D4">
        <f t="shared" ref="D4:D47" si="1">IF(COUNTIF($H$59:$H$82,B4)=0,0,VLOOKUP(B4,$H$59:$J$82,3,FALSE))</f>
        <v>0</v>
      </c>
      <c r="E4">
        <f t="shared" ref="E4:E47" si="2">MAX(C4:D4)</f>
        <v>0</v>
      </c>
      <c r="F4" s="18" t="str">
        <f>VLOOKUP(C4,固定値!$AA$2:$AB$7,2,FALSE)</f>
        <v>－－－</v>
      </c>
      <c r="G4" s="18" t="str">
        <f>VLOOKUP(E4,固定値!$AA$2:$AB$7,2,FALSE)</f>
        <v>－－－</v>
      </c>
      <c r="H4">
        <f>VLOOKUP(G4,固定値!$AK$2:$AM$5,IF(F4=ラベル!$G$2,2,3),FALSE)</f>
        <v>0</v>
      </c>
      <c r="I4">
        <f>VLOOKUP(G4,固定値!$AX$2:$AZ$7,3,FALSE)</f>
        <v>0</v>
      </c>
      <c r="J4" t="str">
        <f t="shared" ref="J4:J47" si="3">LEFT(M4,3)</f>
        <v>278</v>
      </c>
      <c r="K4" t="str">
        <f>IF(G4=ラベル!$G$2,"",CHAR(10)&amp;"【"&amp;B4&amp;"】"&amp;REPT("　",11-LEN(B4))&amp;"●　　　　　"&amp;IF(I4&gt;1,"●","○")&amp;"　　　　　"&amp;IF(I4&gt;2,"●","○")&amp;"　 ／")</f>
        <v/>
      </c>
      <c r="L4" t="str">
        <f>IF(G4=ラベル!$G$2,"",CHAR(10)&amp;"【"&amp;B4&amp;"】"&amp;REPT("　",8-LEN(B4))&amp;G4&amp;REPT(" ",22)&amp;J4)</f>
        <v/>
      </c>
      <c r="M4" t="s">
        <v>665</v>
      </c>
    </row>
    <row r="5" spans="2:14">
      <c r="B5" t="s">
        <v>666</v>
      </c>
      <c r="C5">
        <f t="shared" si="0"/>
        <v>1</v>
      </c>
      <c r="D5">
        <f t="shared" si="1"/>
        <v>0</v>
      </c>
      <c r="E5">
        <f t="shared" si="2"/>
        <v>1</v>
      </c>
      <c r="F5" s="18" t="str">
        <f>VLOOKUP(C5,固定値!$AA$2:$AB$7,2,FALSE)</f>
        <v>初歩</v>
      </c>
      <c r="G5" s="18" t="str">
        <f>VLOOKUP(E5,固定値!$AA$2:$AB$7,2,FALSE)</f>
        <v>初歩</v>
      </c>
      <c r="H5">
        <f>VLOOKUP(G5,固定値!$AK$2:$AM$5,IF(F5=ラベル!$G$2,2,3),FALSE)</f>
        <v>0</v>
      </c>
      <c r="I5">
        <f>VLOOKUP(G5,固定値!$AX$2:$AZ$7,3,FALSE)</f>
        <v>1</v>
      </c>
      <c r="J5" t="str">
        <f t="shared" si="3"/>
        <v>289</v>
      </c>
      <c r="K5" t="str">
        <f>IF(G5=ラベル!$G$2,"",CHAR(10)&amp;"【"&amp;B5&amp;"】"&amp;REPT("　",11-LEN(B5))&amp;"●　　　　　"&amp;IF(I5&gt;1,"●","○")&amp;"　　　　　"&amp;IF(I5&gt;2,"●","○")&amp;"　 ／")</f>
        <v xml:space="preserve">
【騎乗】　　　　　　　　　●　　　　　○　　　　　○　 ／</v>
      </c>
      <c r="L5" t="str">
        <f>IF(G5=ラベル!$G$2,"",CHAR(10)&amp;"【"&amp;B5&amp;"】"&amp;REPT("　",8-LEN(B5))&amp;G5&amp;REPT(" ",22)&amp;J5)</f>
        <v xml:space="preserve">
【騎乗】　　　　　　初歩                      289</v>
      </c>
      <c r="M5" t="s">
        <v>667</v>
      </c>
    </row>
    <row r="6" spans="2:14">
      <c r="B6" t="s">
        <v>668</v>
      </c>
      <c r="C6">
        <f t="shared" si="0"/>
        <v>0</v>
      </c>
      <c r="D6">
        <f t="shared" si="1"/>
        <v>0</v>
      </c>
      <c r="E6">
        <f t="shared" si="2"/>
        <v>0</v>
      </c>
      <c r="F6" s="18" t="str">
        <f>VLOOKUP(C6,固定値!$AA$2:$AB$7,2,FALSE)</f>
        <v>－－－</v>
      </c>
      <c r="G6" s="18" t="str">
        <f>VLOOKUP(E6,固定値!$AA$2:$AB$7,2,FALSE)</f>
        <v>－－－</v>
      </c>
      <c r="H6">
        <f>VLOOKUP(G6,固定値!$AK$2:$AM$5,IF(F6=ラベル!$G$2,2,3),FALSE)</f>
        <v>0</v>
      </c>
      <c r="I6">
        <f>VLOOKUP(G6,固定値!$AX$2:$AZ$7,3,FALSE)</f>
        <v>0</v>
      </c>
      <c r="J6" t="str">
        <f t="shared" si="3"/>
        <v>277</v>
      </c>
      <c r="K6" t="str">
        <f>IF(G6=ラベル!$G$2,"",CHAR(10)&amp;"【"&amp;B6&amp;"】"&amp;REPT("　",11-LEN(B6))&amp;"●　　　　　"&amp;IF(I6&gt;1,"●","○")&amp;"　　　　　"&amp;IF(I6&gt;2,"●","○")&amp;"　 ／")</f>
        <v/>
      </c>
      <c r="L6" t="str">
        <f>IF(G6=ラベル!$G$2,"",CHAR(10)&amp;"【"&amp;B6&amp;"】"&amp;REPT("　",8-LEN(B6))&amp;G6&amp;REPT(" ",22)&amp;J6)</f>
        <v/>
      </c>
      <c r="M6" t="s">
        <v>669</v>
      </c>
    </row>
    <row r="7" spans="2:14">
      <c r="B7" t="s">
        <v>670</v>
      </c>
      <c r="C7">
        <f t="shared" ref="C7" si="4">IF(COUNTIF($H$51:$H$56,B7)=0,0,VLOOKUP(B7,$H$51:$J$56,3,FALSE))</f>
        <v>0</v>
      </c>
      <c r="D7">
        <f t="shared" ref="D7" si="5">IF(COUNTIF($H$59:$H$82,B7)=0,0,VLOOKUP(B7,$H$59:$J$82,3,FALSE))</f>
        <v>0</v>
      </c>
      <c r="E7">
        <f t="shared" ref="E7" si="6">MAX(C7:D7)</f>
        <v>0</v>
      </c>
      <c r="F7" s="18" t="str">
        <f>VLOOKUP(C7,固定値!$AA$2:$AB$7,2,FALSE)</f>
        <v>－－－</v>
      </c>
      <c r="G7" s="18" t="str">
        <f>VLOOKUP(E7,固定値!$AA$2:$AB$7,2,FALSE)</f>
        <v>－－－</v>
      </c>
      <c r="H7">
        <f>VLOOKUP(G7,固定値!$AK$2:$AM$5,IF(F7=ラベル!$G$2,2,3),FALSE)</f>
        <v>0</v>
      </c>
      <c r="I7">
        <f>VLOOKUP(G7,固定値!$AX$2:$AZ$7,3,FALSE)</f>
        <v>0</v>
      </c>
      <c r="J7" t="str">
        <f t="shared" ref="J7" si="7">LEFT(M7,3)</f>
        <v>286</v>
      </c>
      <c r="K7" t="str">
        <f>IF(G7=ラベル!$G$2,"",CHAR(10)&amp;"【"&amp;B7&amp;"】"&amp;REPT("　",11-LEN(B7))&amp;"●　　　　　"&amp;IF(I7&gt;1,"●","○")&amp;"　　　　　"&amp;IF(I7&gt;2,"●","○")&amp;"　 ／")</f>
        <v/>
      </c>
      <c r="L7" t="str">
        <f>IF(G7=ラベル!$G$2,"",CHAR(10)&amp;"【"&amp;B7&amp;"】"&amp;REPT("　",8-LEN(B7))&amp;G7&amp;REPT(" ",22)&amp;J7)</f>
        <v/>
      </c>
      <c r="M7" t="s">
        <v>671</v>
      </c>
    </row>
    <row r="8" spans="2:14">
      <c r="B8" t="s">
        <v>2122</v>
      </c>
      <c r="C8">
        <f t="shared" si="0"/>
        <v>0</v>
      </c>
      <c r="D8">
        <f t="shared" si="1"/>
        <v>0</v>
      </c>
      <c r="E8">
        <f t="shared" si="2"/>
        <v>0</v>
      </c>
      <c r="F8" s="18" t="str">
        <f>VLOOKUP(C8,固定値!$AA$2:$AB$7,2,FALSE)</f>
        <v>－－－</v>
      </c>
      <c r="G8" s="18" t="str">
        <f>VLOOKUP(E8,固定値!$AA$2:$AB$7,2,FALSE)</f>
        <v>－－－</v>
      </c>
      <c r="H8">
        <f>VLOOKUP(G8,固定値!$AK$2:$AM$5,IF(F8=ラベル!$G$2,2,3),FALSE)</f>
        <v>0</v>
      </c>
      <c r="I8">
        <f>VLOOKUP(G8,固定値!$AX$2:$AZ$7,3,FALSE)</f>
        <v>0</v>
      </c>
      <c r="J8" t="str">
        <f t="shared" si="3"/>
        <v>286</v>
      </c>
      <c r="K8" t="str">
        <f>IF(G8=ラベル!$G$2,"",CHAR(10)&amp;"【"&amp;B8&amp;"】"&amp;REPT("　",11-LEN(B8))&amp;"●　　　　　"&amp;IF(I8&gt;1,"●","○")&amp;"　　　　　"&amp;IF(I8&gt;2,"●","○")&amp;"　 ／")</f>
        <v/>
      </c>
      <c r="L8" t="str">
        <f>IF(G8=ラベル!$G$2,"",CHAR(10)&amp;"【"&amp;B8&amp;"】"&amp;REPT("　",8-LEN(B8))&amp;G8&amp;REPT(" ",22)&amp;J8)</f>
        <v/>
      </c>
      <c r="M8" t="s">
        <v>671</v>
      </c>
    </row>
    <row r="9" spans="2:14">
      <c r="B9" t="s">
        <v>672</v>
      </c>
      <c r="C9">
        <f t="shared" si="0"/>
        <v>0</v>
      </c>
      <c r="D9">
        <f t="shared" si="1"/>
        <v>0</v>
      </c>
      <c r="E9">
        <f t="shared" si="2"/>
        <v>0</v>
      </c>
      <c r="F9" s="18" t="str">
        <f>VLOOKUP(C9,固定値!$AA$2:$AB$7,2,FALSE)</f>
        <v>－－－</v>
      </c>
      <c r="G9" s="18" t="str">
        <f>VLOOKUP(E9,固定値!$AA$2:$AB$7,2,FALSE)</f>
        <v>－－－</v>
      </c>
      <c r="H9">
        <f>VLOOKUP(G9,固定値!$AK$2:$AM$5,IF(F9=ラベル!$G$2,2,3),FALSE)</f>
        <v>0</v>
      </c>
      <c r="I9">
        <f>VLOOKUP(G9,固定値!$AX$2:$AZ$7,3,FALSE)</f>
        <v>0</v>
      </c>
      <c r="J9" t="str">
        <f t="shared" si="3"/>
        <v>286</v>
      </c>
      <c r="K9" t="str">
        <f>IF(G9=ラベル!$G$2,"",CHAR(10)&amp;"【"&amp;B9&amp;"】"&amp;REPT("　",11-LEN(B9))&amp;"●　　　　　"&amp;IF(I9&gt;1,"●","○")&amp;"　　　　　"&amp;IF(I9&gt;2,"●","○")&amp;"　 ／")</f>
        <v/>
      </c>
      <c r="L9" t="str">
        <f>IF(G9=ラベル!$G$2,"",CHAR(10)&amp;"【"&amp;B9&amp;"】"&amp;REPT("　",8-LEN(B9))&amp;G9&amp;REPT(" ",22)&amp;J9)</f>
        <v/>
      </c>
      <c r="M9" t="s">
        <v>671</v>
      </c>
    </row>
    <row r="10" spans="2:14">
      <c r="B10" t="s">
        <v>673</v>
      </c>
      <c r="C10">
        <f t="shared" si="0"/>
        <v>0</v>
      </c>
      <c r="D10">
        <f t="shared" si="1"/>
        <v>0</v>
      </c>
      <c r="E10">
        <f t="shared" si="2"/>
        <v>0</v>
      </c>
      <c r="F10" s="18" t="str">
        <f>VLOOKUP(C10,固定値!$AA$2:$AB$7,2,FALSE)</f>
        <v>－－－</v>
      </c>
      <c r="G10" s="18" t="str">
        <f>VLOOKUP(E10,固定値!$AA$2:$AB$7,2,FALSE)</f>
        <v>－－－</v>
      </c>
      <c r="H10">
        <f>VLOOKUP(G10,固定値!$AK$2:$AM$5,IF(F10=ラベル!$G$2,2,3),FALSE)</f>
        <v>0</v>
      </c>
      <c r="I10">
        <f>VLOOKUP(G10,固定値!$AX$2:$AZ$7,3,FALSE)</f>
        <v>0</v>
      </c>
      <c r="J10" t="str">
        <f t="shared" si="3"/>
        <v>286</v>
      </c>
      <c r="K10" t="str">
        <f>IF(G10=ラベル!$G$2,"",CHAR(10)&amp;"【"&amp;B10&amp;"】"&amp;REPT("　",11-LEN(B10))&amp;"●　　　　　"&amp;IF(I10&gt;1,"●","○")&amp;"　　　　　"&amp;IF(I10&gt;2,"●","○")&amp;"　 ／")</f>
        <v/>
      </c>
      <c r="L10" t="str">
        <f>IF(G10=ラベル!$G$2,"",CHAR(10)&amp;"【"&amp;B10&amp;"】"&amp;REPT("　",8-LEN(B10))&amp;G10&amp;REPT(" ",22)&amp;J10)</f>
        <v/>
      </c>
      <c r="M10" t="s">
        <v>671</v>
      </c>
    </row>
    <row r="11" spans="2:14">
      <c r="B11" t="s">
        <v>674</v>
      </c>
      <c r="C11">
        <f t="shared" si="0"/>
        <v>0</v>
      </c>
      <c r="D11">
        <f t="shared" si="1"/>
        <v>0</v>
      </c>
      <c r="E11">
        <f t="shared" si="2"/>
        <v>0</v>
      </c>
      <c r="F11" s="18" t="str">
        <f>VLOOKUP(C11,固定値!$AA$2:$AB$7,2,FALSE)</f>
        <v>－－－</v>
      </c>
      <c r="G11" s="18" t="str">
        <f>VLOOKUP(E11,固定値!$AA$2:$AB$7,2,FALSE)</f>
        <v>－－－</v>
      </c>
      <c r="H11">
        <f>VLOOKUP(G11,固定値!$AK$2:$AM$5,IF(F11=ラベル!$G$2,2,3),FALSE)</f>
        <v>0</v>
      </c>
      <c r="I11">
        <f>VLOOKUP(G11,固定値!$AX$2:$AZ$7,3,FALSE)</f>
        <v>0</v>
      </c>
      <c r="J11" t="str">
        <f t="shared" si="3"/>
        <v>286</v>
      </c>
      <c r="K11" t="str">
        <f>IF(G11=ラベル!$G$2,"",CHAR(10)&amp;"【"&amp;B11&amp;"】"&amp;REPT("　",11-LEN(B11))&amp;"●　　　　　"&amp;IF(I11&gt;1,"●","○")&amp;"　　　　　"&amp;IF(I11&gt;2,"●","○")&amp;"　 ／")</f>
        <v/>
      </c>
      <c r="L11" t="str">
        <f>IF(G11=ラベル!$G$2,"",CHAR(10)&amp;"【"&amp;B11&amp;"】"&amp;REPT("　",8-LEN(B11))&amp;G11&amp;REPT(" ",22)&amp;J11)</f>
        <v/>
      </c>
      <c r="M11" t="s">
        <v>671</v>
      </c>
    </row>
    <row r="12" spans="2:14">
      <c r="B12" t="s">
        <v>675</v>
      </c>
      <c r="C12">
        <f t="shared" si="0"/>
        <v>0</v>
      </c>
      <c r="D12">
        <f t="shared" si="1"/>
        <v>0</v>
      </c>
      <c r="E12">
        <f t="shared" si="2"/>
        <v>0</v>
      </c>
      <c r="F12" s="18" t="str">
        <f>VLOOKUP(C12,固定値!$AA$2:$AB$7,2,FALSE)</f>
        <v>－－－</v>
      </c>
      <c r="G12" s="18" t="str">
        <f>VLOOKUP(E12,固定値!$AA$2:$AB$7,2,FALSE)</f>
        <v>－－－</v>
      </c>
      <c r="H12">
        <f>VLOOKUP(G12,固定値!$AK$2:$AM$5,IF(F12=ラベル!$G$2,2,3),FALSE)</f>
        <v>0</v>
      </c>
      <c r="I12">
        <f>VLOOKUP(G12,固定値!$AX$2:$AZ$7,3,FALSE)</f>
        <v>0</v>
      </c>
      <c r="J12" t="str">
        <f t="shared" si="3"/>
        <v>286</v>
      </c>
      <c r="K12" t="str">
        <f>IF(G12=ラベル!$G$2,"",CHAR(10)&amp;"【"&amp;B12&amp;"】"&amp;REPT("　",11-LEN(B12))&amp;"●　　　　　"&amp;IF(I12&gt;1,"●","○")&amp;"　　　　　"&amp;IF(I12&gt;2,"●","○")&amp;"　 ／")</f>
        <v/>
      </c>
      <c r="L12" t="str">
        <f>IF(G12=ラベル!$G$2,"",CHAR(10)&amp;"【"&amp;B12&amp;"】"&amp;REPT("　",8-LEN(B12))&amp;G12&amp;REPT(" ",22)&amp;J12)</f>
        <v/>
      </c>
      <c r="M12" t="s">
        <v>671</v>
      </c>
    </row>
    <row r="13" spans="2:14">
      <c r="B13" t="s">
        <v>676</v>
      </c>
      <c r="C13">
        <f t="shared" si="0"/>
        <v>0</v>
      </c>
      <c r="D13">
        <f t="shared" si="1"/>
        <v>0</v>
      </c>
      <c r="E13">
        <f t="shared" si="2"/>
        <v>0</v>
      </c>
      <c r="F13" s="18" t="str">
        <f>VLOOKUP(C13,固定値!$AA$2:$AB$7,2,FALSE)</f>
        <v>－－－</v>
      </c>
      <c r="G13" s="18" t="str">
        <f>VLOOKUP(E13,固定値!$AA$2:$AB$7,2,FALSE)</f>
        <v>－－－</v>
      </c>
      <c r="H13">
        <f>VLOOKUP(G13,固定値!$AK$2:$AM$5,IF(F13=ラベル!$G$2,2,3),FALSE)</f>
        <v>0</v>
      </c>
      <c r="I13">
        <f>VLOOKUP(G13,固定値!$AX$2:$AZ$7,3,FALSE)</f>
        <v>0</v>
      </c>
      <c r="J13" t="str">
        <f t="shared" si="3"/>
        <v>288</v>
      </c>
      <c r="K13" t="str">
        <f>IF(G13=ラベル!$G$2,"",CHAR(10)&amp;"【"&amp;B13&amp;"】"&amp;REPT("　",11-LEN(B13))&amp;"●　　　　　"&amp;IF(I13&gt;1,"●","○")&amp;"　　　　　"&amp;IF(I13&gt;2,"●","○")&amp;"　 ／")</f>
        <v/>
      </c>
      <c r="L13" t="str">
        <f>IF(G13=ラベル!$G$2,"",CHAR(10)&amp;"【"&amp;B13&amp;"】"&amp;REPT("　",8-LEN(B13))&amp;G13&amp;REPT(" ",22)&amp;J13)</f>
        <v/>
      </c>
      <c r="M13" t="s">
        <v>677</v>
      </c>
    </row>
    <row r="14" spans="2:14">
      <c r="B14" t="s">
        <v>202</v>
      </c>
      <c r="C14">
        <f t="shared" si="0"/>
        <v>0</v>
      </c>
      <c r="D14">
        <f t="shared" si="1"/>
        <v>0</v>
      </c>
      <c r="E14">
        <f t="shared" si="2"/>
        <v>0</v>
      </c>
      <c r="F14" s="18" t="str">
        <f>VLOOKUP(C14,固定値!$AA$2:$AB$7,2,FALSE)</f>
        <v>－－－</v>
      </c>
      <c r="G14" s="18" t="str">
        <f>VLOOKUP(E14,固定値!$AA$2:$AB$7,2,FALSE)</f>
        <v>－－－</v>
      </c>
      <c r="H14">
        <f>VLOOKUP(G14,固定値!$AK$2:$AM$5,IF(F14=ラベル!$G$2,2,3),FALSE)</f>
        <v>0</v>
      </c>
      <c r="I14">
        <f>VLOOKUP(G14,固定値!$AX$2:$AZ$7,3,FALSE)</f>
        <v>0</v>
      </c>
      <c r="J14" t="str">
        <f t="shared" si="3"/>
        <v>278</v>
      </c>
      <c r="K14" t="str">
        <f>IF(G14=ラベル!$G$2,"",CHAR(10)&amp;"【"&amp;B14&amp;"】"&amp;REPT("　",11-LEN(B14))&amp;"●　　　　　"&amp;IF(I14&gt;1,"●","○")&amp;"　　　　　"&amp;IF(I14&gt;2,"●","○")&amp;"　 ／")</f>
        <v/>
      </c>
      <c r="L14" t="str">
        <f>IF(G14=ラベル!$G$2,"",CHAR(10)&amp;"【"&amp;B14&amp;"】"&amp;REPT("　",8-LEN(B14))&amp;G14&amp;REPT(" ",22)&amp;J14)</f>
        <v/>
      </c>
      <c r="M14" t="s">
        <v>665</v>
      </c>
    </row>
    <row r="15" spans="2:14">
      <c r="B15" t="s">
        <v>205</v>
      </c>
      <c r="C15">
        <f t="shared" si="0"/>
        <v>0</v>
      </c>
      <c r="D15">
        <f t="shared" si="1"/>
        <v>0</v>
      </c>
      <c r="E15">
        <f t="shared" si="2"/>
        <v>0</v>
      </c>
      <c r="F15" s="18" t="str">
        <f>VLOOKUP(C15,固定値!$AA$2:$AB$7,2,FALSE)</f>
        <v>－－－</v>
      </c>
      <c r="G15" s="18" t="str">
        <f>VLOOKUP(E15,固定値!$AA$2:$AB$7,2,FALSE)</f>
        <v>－－－</v>
      </c>
      <c r="H15">
        <f>VLOOKUP(G15,固定値!$AK$2:$AM$5,IF(F15=ラベル!$G$2,2,3),FALSE)</f>
        <v>0</v>
      </c>
      <c r="I15">
        <f>VLOOKUP(G15,固定値!$AX$2:$AZ$7,3,FALSE)</f>
        <v>0</v>
      </c>
      <c r="J15" t="str">
        <f t="shared" si="3"/>
        <v>278</v>
      </c>
      <c r="K15" t="str">
        <f>IF(G15=ラベル!$G$2,"",CHAR(10)&amp;"【"&amp;B15&amp;"】"&amp;REPT("　",11-LEN(B15))&amp;"●　　　　　"&amp;IF(I15&gt;1,"●","○")&amp;"　　　　　"&amp;IF(I15&gt;2,"●","○")&amp;"　 ／")</f>
        <v/>
      </c>
      <c r="L15" t="str">
        <f>IF(G15=ラベル!$G$2,"",CHAR(10)&amp;"【"&amp;B15&amp;"】"&amp;REPT("　",8-LEN(B15))&amp;G15&amp;REPT(" ",22)&amp;J15)</f>
        <v/>
      </c>
      <c r="M15" t="s">
        <v>665</v>
      </c>
    </row>
    <row r="16" spans="2:14">
      <c r="B16" t="s">
        <v>208</v>
      </c>
      <c r="C16">
        <f t="shared" si="0"/>
        <v>0</v>
      </c>
      <c r="D16">
        <f t="shared" si="1"/>
        <v>0</v>
      </c>
      <c r="E16">
        <f t="shared" si="2"/>
        <v>0</v>
      </c>
      <c r="F16" s="18" t="str">
        <f>VLOOKUP(C16,固定値!$AA$2:$AB$7,2,FALSE)</f>
        <v>－－－</v>
      </c>
      <c r="G16" s="18" t="str">
        <f>VLOOKUP(E16,固定値!$AA$2:$AB$7,2,FALSE)</f>
        <v>－－－</v>
      </c>
      <c r="H16">
        <f>VLOOKUP(G16,固定値!$AK$2:$AM$5,IF(F16=ラベル!$G$2,2,3),FALSE)</f>
        <v>0</v>
      </c>
      <c r="I16">
        <f>VLOOKUP(G16,固定値!$AX$2:$AZ$7,3,FALSE)</f>
        <v>0</v>
      </c>
      <c r="J16" t="str">
        <f t="shared" si="3"/>
        <v>278</v>
      </c>
      <c r="K16" t="str">
        <f>IF(G16=ラベル!$G$2,"",CHAR(10)&amp;"【"&amp;B16&amp;"】"&amp;REPT("　",11-LEN(B16))&amp;"●　　　　　"&amp;IF(I16&gt;1,"●","○")&amp;"　　　　　"&amp;IF(I16&gt;2,"●","○")&amp;"　 ／")</f>
        <v/>
      </c>
      <c r="L16" t="str">
        <f>IF(G16=ラベル!$G$2,"",CHAR(10)&amp;"【"&amp;B16&amp;"】"&amp;REPT("　",8-LEN(B16))&amp;G16&amp;REPT(" ",22)&amp;J16)</f>
        <v/>
      </c>
      <c r="M16" t="s">
        <v>665</v>
      </c>
    </row>
    <row r="17" spans="2:13">
      <c r="B17" t="s">
        <v>211</v>
      </c>
      <c r="C17">
        <f t="shared" si="0"/>
        <v>0</v>
      </c>
      <c r="D17">
        <f t="shared" si="1"/>
        <v>0</v>
      </c>
      <c r="E17">
        <f t="shared" si="2"/>
        <v>0</v>
      </c>
      <c r="F17" s="18" t="str">
        <f>VLOOKUP(C17,固定値!$AA$2:$AB$7,2,FALSE)</f>
        <v>－－－</v>
      </c>
      <c r="G17" s="18" t="str">
        <f>VLOOKUP(E17,固定値!$AA$2:$AB$7,2,FALSE)</f>
        <v>－－－</v>
      </c>
      <c r="H17">
        <f>VLOOKUP(G17,固定値!$AK$2:$AM$5,IF(F17=ラベル!$G$2,2,3),FALSE)</f>
        <v>0</v>
      </c>
      <c r="I17">
        <f>VLOOKUP(G17,固定値!$AX$2:$AZ$7,3,FALSE)</f>
        <v>0</v>
      </c>
      <c r="J17" t="str">
        <f t="shared" si="3"/>
        <v>278</v>
      </c>
      <c r="K17" t="str">
        <f>IF(G17=ラベル!$G$2,"",CHAR(10)&amp;"【"&amp;B17&amp;"】"&amp;REPT("　",11-LEN(B17))&amp;"●　　　　　"&amp;IF(I17&gt;1,"●","○")&amp;"　　　　　"&amp;IF(I17&gt;2,"●","○")&amp;"　 ／")</f>
        <v/>
      </c>
      <c r="L17" t="str">
        <f>IF(G17=ラベル!$G$2,"",CHAR(10)&amp;"【"&amp;B17&amp;"】"&amp;REPT("　",8-LEN(B17))&amp;G17&amp;REPT(" ",22)&amp;J17)</f>
        <v/>
      </c>
      <c r="M17" t="s">
        <v>665</v>
      </c>
    </row>
    <row r="18" spans="2:13">
      <c r="B18" t="s">
        <v>678</v>
      </c>
      <c r="C18">
        <f t="shared" si="0"/>
        <v>0</v>
      </c>
      <c r="D18">
        <f t="shared" si="1"/>
        <v>0</v>
      </c>
      <c r="E18">
        <f t="shared" si="2"/>
        <v>0</v>
      </c>
      <c r="F18" s="18" t="str">
        <f>VLOOKUP(C18,固定値!$AA$2:$AB$7,2,FALSE)</f>
        <v>－－－</v>
      </c>
      <c r="G18" s="18" t="str">
        <f>VLOOKUP(E18,固定値!$AA$2:$AB$7,2,FALSE)</f>
        <v>－－－</v>
      </c>
      <c r="H18">
        <f>VLOOKUP(G18,固定値!$AK$2:$AM$5,IF(F18=ラベル!$G$2,2,3),FALSE)</f>
        <v>0</v>
      </c>
      <c r="I18">
        <f>VLOOKUP(G18,固定値!$AX$2:$AZ$7,3,FALSE)</f>
        <v>0</v>
      </c>
      <c r="J18" t="str">
        <f t="shared" si="3"/>
        <v>285</v>
      </c>
      <c r="K18" t="str">
        <f>IF(G18=ラベル!$G$2,"",CHAR(10)&amp;"【"&amp;B18&amp;"】"&amp;REPT("　",11-LEN(B18))&amp;"●　　　　　"&amp;IF(I18&gt;1,"●","○")&amp;"　　　　　"&amp;IF(I18&gt;2,"●","○")&amp;"　 ／")</f>
        <v/>
      </c>
      <c r="L18" t="str">
        <f>IF(G18=ラベル!$G$2,"",CHAR(10)&amp;"【"&amp;B18&amp;"】"&amp;REPT("　",8-LEN(B18))&amp;G18&amp;REPT(" ",22)&amp;J18)</f>
        <v/>
      </c>
      <c r="M18" t="s">
        <v>679</v>
      </c>
    </row>
    <row r="19" spans="2:13">
      <c r="B19" t="s">
        <v>680</v>
      </c>
      <c r="C19">
        <f t="shared" si="0"/>
        <v>0</v>
      </c>
      <c r="D19">
        <f t="shared" si="1"/>
        <v>0</v>
      </c>
      <c r="E19">
        <f t="shared" si="2"/>
        <v>0</v>
      </c>
      <c r="F19" s="18" t="str">
        <f>VLOOKUP(C19,固定値!$AA$2:$AB$7,2,FALSE)</f>
        <v>－－－</v>
      </c>
      <c r="G19" s="18" t="str">
        <f>VLOOKUP(E19,固定値!$AA$2:$AB$7,2,FALSE)</f>
        <v>－－－</v>
      </c>
      <c r="H19">
        <f>VLOOKUP(G19,固定値!$AK$2:$AM$5,IF(F19=ラベル!$G$2,2,3),FALSE)</f>
        <v>0</v>
      </c>
      <c r="I19">
        <f>VLOOKUP(G19,固定値!$AX$2:$AZ$7,3,FALSE)</f>
        <v>0</v>
      </c>
      <c r="J19" t="str">
        <f t="shared" si="3"/>
        <v>285</v>
      </c>
      <c r="K19" t="str">
        <f>IF(G19=ラベル!$G$2,"",CHAR(10)&amp;"【"&amp;B19&amp;"】"&amp;REPT("　",11-LEN(B19))&amp;"●　　　　　"&amp;IF(I19&gt;1,"●","○")&amp;"　　　　　"&amp;IF(I19&gt;2,"●","○")&amp;"　 ／")</f>
        <v/>
      </c>
      <c r="L19" t="str">
        <f>IF(G19=ラベル!$G$2,"",CHAR(10)&amp;"【"&amp;B19&amp;"】"&amp;REPT("　",8-LEN(B19))&amp;G19&amp;REPT(" ",22)&amp;J19)</f>
        <v/>
      </c>
      <c r="M19" t="s">
        <v>679</v>
      </c>
    </row>
    <row r="20" spans="2:13">
      <c r="B20" t="s">
        <v>681</v>
      </c>
      <c r="C20">
        <f t="shared" si="0"/>
        <v>0</v>
      </c>
      <c r="D20">
        <f t="shared" si="1"/>
        <v>0</v>
      </c>
      <c r="E20">
        <f t="shared" si="2"/>
        <v>0</v>
      </c>
      <c r="F20" s="18" t="str">
        <f>VLOOKUP(C20,固定値!$AA$2:$AB$7,2,FALSE)</f>
        <v>－－－</v>
      </c>
      <c r="G20" s="18" t="str">
        <f>VLOOKUP(E20,固定値!$AA$2:$AB$7,2,FALSE)</f>
        <v>－－－</v>
      </c>
      <c r="H20">
        <f>VLOOKUP(G20,固定値!$AK$2:$AM$5,IF(F20=ラベル!$G$2,2,3),FALSE)</f>
        <v>0</v>
      </c>
      <c r="I20">
        <f>VLOOKUP(G20,固定値!$AX$2:$AZ$7,3,FALSE)</f>
        <v>0</v>
      </c>
      <c r="J20" t="str">
        <f t="shared" si="3"/>
        <v>285</v>
      </c>
      <c r="K20" t="str">
        <f>IF(G20=ラベル!$G$2,"",CHAR(10)&amp;"【"&amp;B20&amp;"】"&amp;REPT("　",11-LEN(B20))&amp;"●　　　　　"&amp;IF(I20&gt;1,"●","○")&amp;"　　　　　"&amp;IF(I20&gt;2,"●","○")&amp;"　 ／")</f>
        <v/>
      </c>
      <c r="L20" t="str">
        <f>IF(G20=ラベル!$G$2,"",CHAR(10)&amp;"【"&amp;B20&amp;"】"&amp;REPT("　",8-LEN(B20))&amp;G20&amp;REPT(" ",22)&amp;J20)</f>
        <v/>
      </c>
      <c r="M20" t="s">
        <v>679</v>
      </c>
    </row>
    <row r="21" spans="2:13">
      <c r="B21" t="s">
        <v>682</v>
      </c>
      <c r="C21">
        <f t="shared" si="0"/>
        <v>0</v>
      </c>
      <c r="D21">
        <f t="shared" si="1"/>
        <v>0</v>
      </c>
      <c r="E21">
        <f t="shared" si="2"/>
        <v>0</v>
      </c>
      <c r="F21" s="18" t="str">
        <f>VLOOKUP(C21,固定値!$AA$2:$AB$7,2,FALSE)</f>
        <v>－－－</v>
      </c>
      <c r="G21" s="18" t="str">
        <f>VLOOKUP(E21,固定値!$AA$2:$AB$7,2,FALSE)</f>
        <v>－－－</v>
      </c>
      <c r="H21">
        <f>VLOOKUP(G21,固定値!$AK$2:$AM$5,IF(F21=ラベル!$G$2,2,3),FALSE)</f>
        <v>0</v>
      </c>
      <c r="I21">
        <f>VLOOKUP(G21,固定値!$AX$2:$AZ$7,3,FALSE)</f>
        <v>0</v>
      </c>
      <c r="J21" t="str">
        <f t="shared" si="3"/>
        <v>285</v>
      </c>
      <c r="K21" t="str">
        <f>IF(G21=ラベル!$G$2,"",CHAR(10)&amp;"【"&amp;B21&amp;"】"&amp;REPT("　",11-LEN(B21))&amp;"●　　　　　"&amp;IF(I21&gt;1,"●","○")&amp;"　　　　　"&amp;IF(I21&gt;2,"●","○")&amp;"　 ／")</f>
        <v/>
      </c>
      <c r="L21" t="str">
        <f>IF(G21=ラベル!$G$2,"",CHAR(10)&amp;"【"&amp;B21&amp;"】"&amp;REPT("　",8-LEN(B21))&amp;G21&amp;REPT(" ",22)&amp;J21)</f>
        <v/>
      </c>
      <c r="M21" t="s">
        <v>679</v>
      </c>
    </row>
    <row r="22" spans="2:13">
      <c r="B22" t="s">
        <v>683</v>
      </c>
      <c r="C22">
        <f t="shared" si="0"/>
        <v>0</v>
      </c>
      <c r="D22">
        <f t="shared" si="1"/>
        <v>0</v>
      </c>
      <c r="E22">
        <f t="shared" si="2"/>
        <v>0</v>
      </c>
      <c r="F22" s="18" t="str">
        <f>VLOOKUP(C22,固定値!$AA$2:$AB$7,2,FALSE)</f>
        <v>－－－</v>
      </c>
      <c r="G22" s="18" t="str">
        <f>VLOOKUP(E22,固定値!$AA$2:$AB$7,2,FALSE)</f>
        <v>－－－</v>
      </c>
      <c r="H22">
        <f>VLOOKUP(G22,固定値!$AK$2:$AM$5,IF(F22=ラベル!$G$2,2,3),FALSE)</f>
        <v>0</v>
      </c>
      <c r="I22">
        <f>VLOOKUP(G22,固定値!$AX$2:$AZ$7,3,FALSE)</f>
        <v>0</v>
      </c>
      <c r="J22" t="str">
        <f t="shared" si="3"/>
        <v>285</v>
      </c>
      <c r="K22" t="str">
        <f>IF(G22=ラベル!$G$2,"",CHAR(10)&amp;"【"&amp;B22&amp;"】"&amp;REPT("　",11-LEN(B22))&amp;"●　　　　　"&amp;IF(I22&gt;1,"●","○")&amp;"　　　　　"&amp;IF(I22&gt;2,"●","○")&amp;"　 ／")</f>
        <v/>
      </c>
      <c r="L22" t="str">
        <f>IF(G22=ラベル!$G$2,"",CHAR(10)&amp;"【"&amp;B22&amp;"】"&amp;REPT("　",8-LEN(B22))&amp;G22&amp;REPT(" ",22)&amp;J22)</f>
        <v/>
      </c>
      <c r="M22" t="s">
        <v>679</v>
      </c>
    </row>
    <row r="23" spans="2:13">
      <c r="B23" t="s">
        <v>684</v>
      </c>
      <c r="C23">
        <f t="shared" si="0"/>
        <v>0</v>
      </c>
      <c r="D23">
        <f t="shared" si="1"/>
        <v>0</v>
      </c>
      <c r="E23">
        <f t="shared" si="2"/>
        <v>0</v>
      </c>
      <c r="F23" s="18" t="str">
        <f>VLOOKUP(C23,固定値!$AA$2:$AB$7,2,FALSE)</f>
        <v>－－－</v>
      </c>
      <c r="G23" s="18" t="str">
        <f>VLOOKUP(E23,固定値!$AA$2:$AB$7,2,FALSE)</f>
        <v>－－－</v>
      </c>
      <c r="H23">
        <f>VLOOKUP(G23,固定値!$AK$2:$AM$5,IF(F23=ラベル!$G$2,2,3),FALSE)</f>
        <v>0</v>
      </c>
      <c r="I23">
        <f>VLOOKUP(G23,固定値!$AX$2:$AZ$7,3,FALSE)</f>
        <v>0</v>
      </c>
      <c r="J23" t="str">
        <f t="shared" si="3"/>
        <v>280</v>
      </c>
      <c r="K23" t="str">
        <f>IF(G23=ラベル!$G$2,"",CHAR(10)&amp;"【"&amp;B23&amp;"】"&amp;REPT("　",11-LEN(B23))&amp;"●　　　　　"&amp;IF(I23&gt;1,"●","○")&amp;"　　　　　"&amp;IF(I23&gt;2,"●","○")&amp;"　 ／")</f>
        <v/>
      </c>
      <c r="L23" t="str">
        <f>IF(G23=ラベル!$G$2,"",CHAR(10)&amp;"【"&amp;B23&amp;"】"&amp;REPT("　",8-LEN(B23))&amp;G23&amp;REPT(" ",22)&amp;J23)</f>
        <v/>
      </c>
      <c r="M23" t="s">
        <v>685</v>
      </c>
    </row>
    <row r="24" spans="2:13">
      <c r="B24" t="s">
        <v>686</v>
      </c>
      <c r="C24">
        <f t="shared" si="0"/>
        <v>0</v>
      </c>
      <c r="D24">
        <f t="shared" si="1"/>
        <v>0</v>
      </c>
      <c r="E24">
        <f t="shared" si="2"/>
        <v>0</v>
      </c>
      <c r="F24" s="18" t="str">
        <f>VLOOKUP(C24,固定値!$AA$2:$AB$7,2,FALSE)</f>
        <v>－－－</v>
      </c>
      <c r="G24" s="18" t="str">
        <f>VLOOKUP(E24,固定値!$AA$2:$AB$7,2,FALSE)</f>
        <v>－－－</v>
      </c>
      <c r="H24">
        <f>VLOOKUP(G24,固定値!$AK$2:$AM$5,IF(F24=ラベル!$G$2,2,3),FALSE)</f>
        <v>0</v>
      </c>
      <c r="I24">
        <f>VLOOKUP(G24,固定値!$AX$2:$AZ$7,3,FALSE)</f>
        <v>0</v>
      </c>
      <c r="J24" t="str">
        <f t="shared" si="3"/>
        <v>290</v>
      </c>
      <c r="K24" t="str">
        <f>IF(G24=ラベル!$G$2,"",CHAR(10)&amp;"【"&amp;B24&amp;"】"&amp;REPT("　",11-LEN(B24))&amp;"●　　　　　"&amp;IF(I24&gt;1,"●","○")&amp;"　　　　　"&amp;IF(I24&gt;2,"●","○")&amp;"　 ／")</f>
        <v/>
      </c>
      <c r="L24" t="str">
        <f>IF(G24=ラベル!$G$2,"",CHAR(10)&amp;"【"&amp;B24&amp;"】"&amp;REPT("　",8-LEN(B24))&amp;G24&amp;REPT(" ",22)&amp;J24)</f>
        <v/>
      </c>
      <c r="M24" t="s">
        <v>687</v>
      </c>
    </row>
    <row r="25" spans="2:13">
      <c r="B25" t="s">
        <v>688</v>
      </c>
      <c r="C25">
        <f t="shared" si="0"/>
        <v>0</v>
      </c>
      <c r="D25">
        <f t="shared" si="1"/>
        <v>0</v>
      </c>
      <c r="E25">
        <f t="shared" si="2"/>
        <v>0</v>
      </c>
      <c r="F25" s="18" t="str">
        <f>VLOOKUP(C25,固定値!$AA$2:$AB$7,2,FALSE)</f>
        <v>－－－</v>
      </c>
      <c r="G25" s="18" t="str">
        <f>VLOOKUP(E25,固定値!$AA$2:$AB$7,2,FALSE)</f>
        <v>－－－</v>
      </c>
      <c r="H25">
        <f>VLOOKUP(G25,固定値!$AK$2:$AM$5,IF(F25=ラベル!$G$2,2,3),FALSE)</f>
        <v>0</v>
      </c>
      <c r="I25">
        <f>VLOOKUP(G25,固定値!$AX$2:$AZ$7,3,FALSE)</f>
        <v>0</v>
      </c>
      <c r="J25" t="str">
        <f t="shared" si="3"/>
        <v>290</v>
      </c>
      <c r="K25" t="str">
        <f>IF(G25=ラベル!$G$2,"",CHAR(10)&amp;"【"&amp;B25&amp;"】"&amp;REPT("　",11-LEN(B25))&amp;"●　　　　　"&amp;IF(I25&gt;1,"●","○")&amp;"　　　　　"&amp;IF(I25&gt;2,"●","○")&amp;"　 ／")</f>
        <v/>
      </c>
      <c r="L25" t="str">
        <f>IF(G25=ラベル!$G$2,"",CHAR(10)&amp;"【"&amp;B25&amp;"】"&amp;REPT("　",8-LEN(B25))&amp;G25&amp;REPT(" ",22)&amp;J25)</f>
        <v/>
      </c>
      <c r="M25" t="s">
        <v>687</v>
      </c>
    </row>
    <row r="26" spans="2:13">
      <c r="B26" t="s">
        <v>689</v>
      </c>
      <c r="C26">
        <f t="shared" si="0"/>
        <v>0</v>
      </c>
      <c r="D26">
        <f t="shared" si="1"/>
        <v>0</v>
      </c>
      <c r="E26">
        <f t="shared" si="2"/>
        <v>0</v>
      </c>
      <c r="F26" s="18" t="str">
        <f>VLOOKUP(C26,固定値!$AA$2:$AB$7,2,FALSE)</f>
        <v>－－－</v>
      </c>
      <c r="G26" s="18" t="str">
        <f>VLOOKUP(E26,固定値!$AA$2:$AB$7,2,FALSE)</f>
        <v>－－－</v>
      </c>
      <c r="H26">
        <f>VLOOKUP(G26,固定値!$AK$2:$AM$5,IF(F26=ラベル!$G$2,2,3),FALSE)</f>
        <v>0</v>
      </c>
      <c r="I26">
        <f>VLOOKUP(G26,固定値!$AX$2:$AZ$7,3,FALSE)</f>
        <v>0</v>
      </c>
      <c r="J26" t="str">
        <f t="shared" si="3"/>
        <v>290</v>
      </c>
      <c r="K26" t="str">
        <f>IF(G26=ラベル!$G$2,"",CHAR(10)&amp;"【"&amp;B26&amp;"】"&amp;REPT("　",11-LEN(B26))&amp;"●　　　　　"&amp;IF(I26&gt;1,"●","○")&amp;"　　　　　"&amp;IF(I26&gt;2,"●","○")&amp;"　 ／")</f>
        <v/>
      </c>
      <c r="L26" t="str">
        <f>IF(G26=ラベル!$G$2,"",CHAR(10)&amp;"【"&amp;B26&amp;"】"&amp;REPT("　",8-LEN(B26))&amp;G26&amp;REPT(" ",22)&amp;J26)</f>
        <v/>
      </c>
      <c r="M26" t="s">
        <v>687</v>
      </c>
    </row>
    <row r="27" spans="2:13">
      <c r="B27" t="s">
        <v>690</v>
      </c>
      <c r="C27">
        <f t="shared" si="0"/>
        <v>0</v>
      </c>
      <c r="D27">
        <f t="shared" si="1"/>
        <v>0</v>
      </c>
      <c r="E27">
        <f t="shared" si="2"/>
        <v>0</v>
      </c>
      <c r="F27" s="18" t="str">
        <f>VLOOKUP(C27,固定値!$AA$2:$AB$7,2,FALSE)</f>
        <v>－－－</v>
      </c>
      <c r="G27" s="18" t="str">
        <f>VLOOKUP(E27,固定値!$AA$2:$AB$7,2,FALSE)</f>
        <v>－－－</v>
      </c>
      <c r="H27">
        <f>VLOOKUP(G27,固定値!$AK$2:$AM$5,IF(F27=ラベル!$G$2,2,3),FALSE)</f>
        <v>0</v>
      </c>
      <c r="I27">
        <f>VLOOKUP(G27,固定値!$AX$2:$AZ$7,3,FALSE)</f>
        <v>0</v>
      </c>
      <c r="J27" t="str">
        <f t="shared" si="3"/>
        <v>290</v>
      </c>
      <c r="K27" t="str">
        <f>IF(G27=ラベル!$G$2,"",CHAR(10)&amp;"【"&amp;B27&amp;"】"&amp;REPT("　",11-LEN(B27))&amp;"●　　　　　"&amp;IF(I27&gt;1,"●","○")&amp;"　　　　　"&amp;IF(I27&gt;2,"●","○")&amp;"　 ／")</f>
        <v/>
      </c>
      <c r="L27" t="str">
        <f>IF(G27=ラベル!$G$2,"",CHAR(10)&amp;"【"&amp;B27&amp;"】"&amp;REPT("　",8-LEN(B27))&amp;G27&amp;REPT(" ",22)&amp;J27)</f>
        <v/>
      </c>
      <c r="M27" t="s">
        <v>687</v>
      </c>
    </row>
    <row r="28" spans="2:13">
      <c r="B28" t="s">
        <v>691</v>
      </c>
      <c r="C28">
        <f t="shared" si="0"/>
        <v>0</v>
      </c>
      <c r="D28">
        <f t="shared" si="1"/>
        <v>0</v>
      </c>
      <c r="E28">
        <f t="shared" si="2"/>
        <v>0</v>
      </c>
      <c r="F28" s="18" t="str">
        <f>VLOOKUP(C28,固定値!$AA$2:$AB$7,2,FALSE)</f>
        <v>－－－</v>
      </c>
      <c r="G28" s="18" t="str">
        <f>VLOOKUP(E28,固定値!$AA$2:$AB$7,2,FALSE)</f>
        <v>－－－</v>
      </c>
      <c r="H28">
        <f>VLOOKUP(G28,固定値!$AK$2:$AM$5,IF(F28=ラベル!$G$2,2,3),FALSE)</f>
        <v>0</v>
      </c>
      <c r="I28">
        <f>VLOOKUP(G28,固定値!$AX$2:$AZ$7,3,FALSE)</f>
        <v>0</v>
      </c>
      <c r="J28" t="str">
        <f t="shared" si="3"/>
        <v>290</v>
      </c>
      <c r="K28" t="str">
        <f>IF(G28=ラベル!$G$2,"",CHAR(10)&amp;"【"&amp;B28&amp;"】"&amp;REPT("　",11-LEN(B28))&amp;"●　　　　　"&amp;IF(I28&gt;1,"●","○")&amp;"　　　　　"&amp;IF(I28&gt;2,"●","○")&amp;"　 ／")</f>
        <v/>
      </c>
      <c r="L28" t="str">
        <f>IF(G28=ラベル!$G$2,"",CHAR(10)&amp;"【"&amp;B28&amp;"】"&amp;REPT("　",8-LEN(B28))&amp;G28&amp;REPT(" ",22)&amp;J28)</f>
        <v/>
      </c>
      <c r="M28" t="s">
        <v>687</v>
      </c>
    </row>
    <row r="29" spans="2:13">
      <c r="B29" t="s">
        <v>692</v>
      </c>
      <c r="C29">
        <f t="shared" si="0"/>
        <v>0</v>
      </c>
      <c r="D29">
        <f t="shared" si="1"/>
        <v>0</v>
      </c>
      <c r="E29">
        <f t="shared" si="2"/>
        <v>0</v>
      </c>
      <c r="F29" s="18" t="str">
        <f>VLOOKUP(C29,固定値!$AA$2:$AB$7,2,FALSE)</f>
        <v>－－－</v>
      </c>
      <c r="G29" s="18" t="str">
        <f>VLOOKUP(E29,固定値!$AA$2:$AB$7,2,FALSE)</f>
        <v>－－－</v>
      </c>
      <c r="H29">
        <f>VLOOKUP(G29,固定値!$AK$2:$AM$5,IF(F29=ラベル!$G$2,2,3),FALSE)</f>
        <v>0</v>
      </c>
      <c r="I29">
        <f>VLOOKUP(G29,固定値!$AX$2:$AZ$7,3,FALSE)</f>
        <v>0</v>
      </c>
      <c r="J29" t="str">
        <f t="shared" si="3"/>
        <v>290</v>
      </c>
      <c r="K29" t="str">
        <f>IF(G29=ラベル!$G$2,"",CHAR(10)&amp;"【"&amp;B29&amp;"】"&amp;REPT("　",11-LEN(B29))&amp;"●　　　　　"&amp;IF(I29&gt;1,"●","○")&amp;"　　　　　"&amp;IF(I29&gt;2,"●","○")&amp;"　 ／")</f>
        <v/>
      </c>
      <c r="L29" t="str">
        <f>IF(G29=ラベル!$G$2,"",CHAR(10)&amp;"【"&amp;B29&amp;"】"&amp;REPT("　",8-LEN(B29))&amp;G29&amp;REPT(" ",22)&amp;J29)</f>
        <v/>
      </c>
      <c r="M29" t="s">
        <v>687</v>
      </c>
    </row>
    <row r="30" spans="2:13">
      <c r="B30" t="s">
        <v>693</v>
      </c>
      <c r="C30">
        <f t="shared" si="0"/>
        <v>0</v>
      </c>
      <c r="D30">
        <f t="shared" si="1"/>
        <v>0</v>
      </c>
      <c r="E30">
        <f t="shared" si="2"/>
        <v>0</v>
      </c>
      <c r="F30" s="18" t="str">
        <f>VLOOKUP(C30,固定値!$AA$2:$AB$7,2,FALSE)</f>
        <v>－－－</v>
      </c>
      <c r="G30" s="18" t="str">
        <f>VLOOKUP(E30,固定値!$AA$2:$AB$7,2,FALSE)</f>
        <v>－－－</v>
      </c>
      <c r="H30">
        <f>VLOOKUP(G30,固定値!$AK$2:$AM$5,IF(F30=ラベル!$G$2,2,3),FALSE)</f>
        <v>0</v>
      </c>
      <c r="I30">
        <f>VLOOKUP(G30,固定値!$AX$2:$AZ$7,3,FALSE)</f>
        <v>0</v>
      </c>
      <c r="J30" t="str">
        <f t="shared" si="3"/>
        <v>285</v>
      </c>
      <c r="K30" t="str">
        <f>IF(G30=ラベル!$G$2,"",CHAR(10)&amp;"【"&amp;B30&amp;"】"&amp;REPT("　",11-LEN(B30))&amp;"●　　　　　"&amp;IF(I30&gt;1,"●","○")&amp;"　　　　　"&amp;IF(I30&gt;2,"●","○")&amp;"　 ／")</f>
        <v/>
      </c>
      <c r="L30" t="str">
        <f>IF(G30=ラベル!$G$2,"",CHAR(10)&amp;"【"&amp;B30&amp;"】"&amp;REPT("　",8-LEN(B30))&amp;G30&amp;REPT(" ",22)&amp;J30)</f>
        <v/>
      </c>
      <c r="M30" t="s">
        <v>679</v>
      </c>
    </row>
    <row r="31" spans="2:13">
      <c r="B31" t="s">
        <v>694</v>
      </c>
      <c r="C31">
        <f t="shared" si="0"/>
        <v>0</v>
      </c>
      <c r="D31">
        <f t="shared" si="1"/>
        <v>0</v>
      </c>
      <c r="E31">
        <f t="shared" si="2"/>
        <v>0</v>
      </c>
      <c r="F31" s="18" t="str">
        <f>VLOOKUP(C31,固定値!$AA$2:$AB$7,2,FALSE)</f>
        <v>－－－</v>
      </c>
      <c r="G31" s="18" t="str">
        <f>VLOOKUP(E31,固定値!$AA$2:$AB$7,2,FALSE)</f>
        <v>－－－</v>
      </c>
      <c r="H31">
        <f>VLOOKUP(G31,固定値!$AK$2:$AM$5,IF(F31=ラベル!$G$2,2,3),FALSE)</f>
        <v>0</v>
      </c>
      <c r="I31">
        <f>VLOOKUP(G31,固定値!$AX$2:$AZ$7,3,FALSE)</f>
        <v>0</v>
      </c>
      <c r="J31" t="str">
        <f t="shared" si="3"/>
        <v>285</v>
      </c>
      <c r="K31" t="str">
        <f>IF(G31=ラベル!$G$2,"",CHAR(10)&amp;"【"&amp;B31&amp;"】"&amp;REPT("　",11-LEN(B31))&amp;"●　　　　　"&amp;IF(I31&gt;1,"●","○")&amp;"　　　　　"&amp;IF(I31&gt;2,"●","○")&amp;"　 ／")</f>
        <v/>
      </c>
      <c r="L31" t="str">
        <f>IF(G31=ラベル!$G$2,"",CHAR(10)&amp;"【"&amp;B31&amp;"】"&amp;REPT("　",8-LEN(B31))&amp;G31&amp;REPT(" ",22)&amp;J31)</f>
        <v/>
      </c>
      <c r="M31" t="s">
        <v>679</v>
      </c>
    </row>
    <row r="32" spans="2:13">
      <c r="B32" t="s">
        <v>695</v>
      </c>
      <c r="C32">
        <f t="shared" si="0"/>
        <v>0</v>
      </c>
      <c r="D32">
        <f t="shared" si="1"/>
        <v>0</v>
      </c>
      <c r="E32">
        <f t="shared" si="2"/>
        <v>0</v>
      </c>
      <c r="F32" s="18" t="str">
        <f>VLOOKUP(C32,固定値!$AA$2:$AB$7,2,FALSE)</f>
        <v>－－－</v>
      </c>
      <c r="G32" s="18" t="str">
        <f>VLOOKUP(E32,固定値!$AA$2:$AB$7,2,FALSE)</f>
        <v>－－－</v>
      </c>
      <c r="H32">
        <f>VLOOKUP(G32,固定値!$AK$2:$AM$5,IF(F32=ラベル!$G$2,2,3),FALSE)</f>
        <v>0</v>
      </c>
      <c r="I32">
        <f>VLOOKUP(G32,固定値!$AX$2:$AZ$7,3,FALSE)</f>
        <v>0</v>
      </c>
      <c r="J32" t="str">
        <f t="shared" si="3"/>
        <v>285</v>
      </c>
      <c r="K32" t="str">
        <f>IF(G32=ラベル!$G$2,"",CHAR(10)&amp;"【"&amp;B32&amp;"】"&amp;REPT("　",11-LEN(B32))&amp;"●　　　　　"&amp;IF(I32&gt;1,"●","○")&amp;"　　　　　"&amp;IF(I32&gt;2,"●","○")&amp;"　 ／")</f>
        <v/>
      </c>
      <c r="L32" t="str">
        <f>IF(G32=ラベル!$G$2,"",CHAR(10)&amp;"【"&amp;B32&amp;"】"&amp;REPT("　",8-LEN(B32))&amp;G32&amp;REPT(" ",22)&amp;J32)</f>
        <v/>
      </c>
      <c r="M32" t="s">
        <v>679</v>
      </c>
    </row>
    <row r="33" spans="2:13">
      <c r="B33" t="s">
        <v>696</v>
      </c>
      <c r="C33">
        <f t="shared" si="0"/>
        <v>0</v>
      </c>
      <c r="D33">
        <f t="shared" si="1"/>
        <v>0</v>
      </c>
      <c r="E33">
        <f t="shared" si="2"/>
        <v>0</v>
      </c>
      <c r="F33" s="18" t="str">
        <f>VLOOKUP(C33,固定値!$AA$2:$AB$7,2,FALSE)</f>
        <v>－－－</v>
      </c>
      <c r="G33" s="18" t="str">
        <f>VLOOKUP(E33,固定値!$AA$2:$AB$7,2,FALSE)</f>
        <v>－－－</v>
      </c>
      <c r="H33">
        <f>VLOOKUP(G33,固定値!$AK$2:$AM$5,IF(F33=ラベル!$G$2,2,3),FALSE)</f>
        <v>0</v>
      </c>
      <c r="I33">
        <f>VLOOKUP(G33,固定値!$AX$2:$AZ$7,3,FALSE)</f>
        <v>0</v>
      </c>
      <c r="J33" t="str">
        <f t="shared" si="3"/>
        <v>285</v>
      </c>
      <c r="K33" t="str">
        <f>IF(G33=ラベル!$G$2,"",CHAR(10)&amp;"【"&amp;B33&amp;"】"&amp;REPT("　",11-LEN(B33))&amp;"●　　　　　"&amp;IF(I33&gt;1,"●","○")&amp;"　　　　　"&amp;IF(I33&gt;2,"●","○")&amp;"　 ／")</f>
        <v/>
      </c>
      <c r="L33" t="str">
        <f>IF(G33=ラベル!$G$2,"",CHAR(10)&amp;"【"&amp;B33&amp;"】"&amp;REPT("　",8-LEN(B33))&amp;G33&amp;REPT(" ",22)&amp;J33)</f>
        <v/>
      </c>
      <c r="M33" t="s">
        <v>679</v>
      </c>
    </row>
    <row r="34" spans="2:13">
      <c r="B34" t="s">
        <v>480</v>
      </c>
      <c r="C34">
        <f t="shared" si="0"/>
        <v>0</v>
      </c>
      <c r="D34">
        <f t="shared" si="1"/>
        <v>0</v>
      </c>
      <c r="E34">
        <f t="shared" si="2"/>
        <v>0</v>
      </c>
      <c r="F34" s="18" t="str">
        <f>VLOOKUP(C34,固定値!$AA$2:$AB$7,2,FALSE)</f>
        <v>－－－</v>
      </c>
      <c r="G34" s="18" t="str">
        <f>VLOOKUP(E34,固定値!$AA$2:$AB$7,2,FALSE)</f>
        <v>－－－</v>
      </c>
      <c r="H34">
        <f>VLOOKUP(G34,固定値!$AK$2:$AM$5,IF(F34=ラベル!$G$2,2,3),FALSE)</f>
        <v>0</v>
      </c>
      <c r="I34">
        <f>VLOOKUP(G34,固定値!$AX$2:$AZ$7,3,FALSE)</f>
        <v>0</v>
      </c>
      <c r="J34" t="str">
        <f t="shared" si="3"/>
        <v>280</v>
      </c>
      <c r="K34" t="str">
        <f>IF(G34=ラベル!$G$2,"",CHAR(10)&amp;"【"&amp;B34&amp;"】"&amp;REPT("　",11-LEN(B34))&amp;"●　　　　　"&amp;IF(I34&gt;1,"●","○")&amp;"　　　　　"&amp;IF(I34&gt;2,"●","○")&amp;"　 ／")</f>
        <v/>
      </c>
      <c r="L34" t="str">
        <f>IF(G34=ラベル!$G$2,"",CHAR(10)&amp;"【"&amp;B34&amp;"】"&amp;REPT("　",8-LEN(B34))&amp;G34&amp;REPT(" ",22)&amp;J34)</f>
        <v/>
      </c>
      <c r="M34" t="s">
        <v>685</v>
      </c>
    </row>
    <row r="35" spans="2:13">
      <c r="B35" t="s">
        <v>697</v>
      </c>
      <c r="C35">
        <f t="shared" si="0"/>
        <v>0</v>
      </c>
      <c r="D35">
        <f t="shared" si="1"/>
        <v>0</v>
      </c>
      <c r="E35">
        <f t="shared" si="2"/>
        <v>0</v>
      </c>
      <c r="F35" s="18" t="str">
        <f>VLOOKUP(C35,固定値!$AA$2:$AB$7,2,FALSE)</f>
        <v>－－－</v>
      </c>
      <c r="G35" s="18" t="str">
        <f>VLOOKUP(E35,固定値!$AA$2:$AB$7,2,FALSE)</f>
        <v>－－－</v>
      </c>
      <c r="H35">
        <f>VLOOKUP(G35,固定値!$AK$2:$AM$5,IF(F35=ラベル!$G$2,2,3),FALSE)</f>
        <v>0</v>
      </c>
      <c r="I35">
        <f>VLOOKUP(G35,固定値!$AX$2:$AZ$7,3,FALSE)</f>
        <v>0</v>
      </c>
      <c r="J35" t="str">
        <f t="shared" si="3"/>
        <v>291</v>
      </c>
      <c r="K35" t="str">
        <f>IF(G35=ラベル!$G$2,"",CHAR(10)&amp;"【"&amp;B35&amp;"】"&amp;REPT("　",11-LEN(B35))&amp;"●　　　　　"&amp;IF(I35&gt;1,"●","○")&amp;"　　　　　"&amp;IF(I35&gt;2,"●","○")&amp;"　 ／")</f>
        <v/>
      </c>
      <c r="L35" t="str">
        <f>IF(G35=ラベル!$G$2,"",CHAR(10)&amp;"【"&amp;B35&amp;"】"&amp;REPT("　",8-LEN(B35))&amp;G35&amp;REPT(" ",22)&amp;J35)</f>
        <v/>
      </c>
      <c r="M35" t="s">
        <v>698</v>
      </c>
    </row>
    <row r="36" spans="2:13">
      <c r="B36" t="s">
        <v>699</v>
      </c>
      <c r="C36">
        <f t="shared" si="0"/>
        <v>0</v>
      </c>
      <c r="D36">
        <f t="shared" si="1"/>
        <v>0</v>
      </c>
      <c r="E36">
        <f t="shared" si="2"/>
        <v>0</v>
      </c>
      <c r="F36" s="18" t="str">
        <f>VLOOKUP(C36,固定値!$AA$2:$AB$7,2,FALSE)</f>
        <v>－－－</v>
      </c>
      <c r="G36" s="18" t="str">
        <f>VLOOKUP(E36,固定値!$AA$2:$AB$7,2,FALSE)</f>
        <v>－－－</v>
      </c>
      <c r="H36">
        <f>VLOOKUP(G36,固定値!$AK$2:$AM$5,IF(F36=ラベル!$G$2,2,3),FALSE)</f>
        <v>0</v>
      </c>
      <c r="I36">
        <f>VLOOKUP(G36,固定値!$AX$2:$AZ$7,3,FALSE)</f>
        <v>0</v>
      </c>
      <c r="J36" t="str">
        <f t="shared" si="3"/>
        <v>281</v>
      </c>
      <c r="K36" t="str">
        <f>IF(G36=ラベル!$G$2,"",CHAR(10)&amp;"【"&amp;B36&amp;"】"&amp;REPT("　",11-LEN(B36))&amp;"●　　　　　"&amp;IF(I36&gt;1,"●","○")&amp;"　　　　　"&amp;IF(I36&gt;2,"●","○")&amp;"　 ／")</f>
        <v/>
      </c>
      <c r="L36" t="str">
        <f>IF(G36=ラベル!$G$2,"",CHAR(10)&amp;"【"&amp;B36&amp;"】"&amp;REPT("　",8-LEN(B36))&amp;G36&amp;REPT(" ",22)&amp;J36)</f>
        <v/>
      </c>
      <c r="M36" t="s">
        <v>700</v>
      </c>
    </row>
    <row r="37" spans="2:13">
      <c r="B37" t="s">
        <v>168</v>
      </c>
      <c r="C37">
        <f t="shared" si="0"/>
        <v>1</v>
      </c>
      <c r="D37">
        <f t="shared" si="1"/>
        <v>0</v>
      </c>
      <c r="E37">
        <f t="shared" si="2"/>
        <v>1</v>
      </c>
      <c r="F37" s="18" t="str">
        <f>VLOOKUP(C37,固定値!$AA$2:$AB$7,2,FALSE)</f>
        <v>初歩</v>
      </c>
      <c r="G37" s="18" t="str">
        <f>VLOOKUP(E37,固定値!$AA$2:$AB$7,2,FALSE)</f>
        <v>初歩</v>
      </c>
      <c r="H37">
        <f>VLOOKUP(G37,固定値!$AK$2:$AM$5,IF(F37=ラベル!$G$2,2,3),FALSE)</f>
        <v>0</v>
      </c>
      <c r="I37">
        <f>VLOOKUP(G37,固定値!$AX$2:$AZ$7,3,FALSE)</f>
        <v>1</v>
      </c>
      <c r="J37" t="str">
        <f t="shared" si="3"/>
        <v>289</v>
      </c>
      <c r="K37" t="str">
        <f>IF(G37=ラベル!$G$2,"",CHAR(10)&amp;"【"&amp;B37&amp;"】"&amp;REPT("　",11-LEN(B37))&amp;"●　　　　　"&amp;IF(I37&gt;1,"●","○")&amp;"　　　　　"&amp;IF(I37&gt;2,"●","○")&amp;"　 ／")</f>
        <v xml:space="preserve">
【長距離移動】　　　　　　●　　　　　○　　　　　○　 ／</v>
      </c>
      <c r="L37" t="str">
        <f>IF(G37=ラベル!$G$2,"",CHAR(10)&amp;"【"&amp;B37&amp;"】"&amp;REPT("　",8-LEN(B37))&amp;G37&amp;REPT(" ",22)&amp;J37)</f>
        <v xml:space="preserve">
【長距離移動】　　　初歩                      289</v>
      </c>
      <c r="M37" t="s">
        <v>667</v>
      </c>
    </row>
    <row r="38" spans="2:13">
      <c r="B38" t="s">
        <v>701</v>
      </c>
      <c r="C38">
        <f t="shared" si="0"/>
        <v>0</v>
      </c>
      <c r="D38">
        <f t="shared" si="1"/>
        <v>0</v>
      </c>
      <c r="E38">
        <f t="shared" si="2"/>
        <v>0</v>
      </c>
      <c r="F38" s="18" t="str">
        <f>VLOOKUP(C38,固定値!$AA$2:$AB$7,2,FALSE)</f>
        <v>－－－</v>
      </c>
      <c r="G38" s="18" t="str">
        <f>VLOOKUP(E38,固定値!$AA$2:$AB$7,2,FALSE)</f>
        <v>－－－</v>
      </c>
      <c r="H38">
        <f>VLOOKUP(G38,固定値!$AK$2:$AM$5,IF(F38=ラベル!$G$2,2,3),FALSE)</f>
        <v>0</v>
      </c>
      <c r="I38">
        <f>VLOOKUP(G38,固定値!$AX$2:$AZ$7,3,FALSE)</f>
        <v>0</v>
      </c>
      <c r="J38" t="str">
        <f t="shared" si="3"/>
        <v>290</v>
      </c>
      <c r="K38" t="str">
        <f>IF(G38=ラベル!$G$2,"",CHAR(10)&amp;"【"&amp;B38&amp;"】"&amp;REPT("　",11-LEN(B38))&amp;"●　　　　　"&amp;IF(I38&gt;1,"●","○")&amp;"　　　　　"&amp;IF(I38&gt;2,"●","○")&amp;"　 ／")</f>
        <v/>
      </c>
      <c r="L38" t="str">
        <f>IF(G38=ラベル!$G$2,"",CHAR(10)&amp;"【"&amp;B38&amp;"】"&amp;REPT("　",8-LEN(B38))&amp;G38&amp;REPT(" ",22)&amp;J38)</f>
        <v/>
      </c>
      <c r="M38" t="s">
        <v>687</v>
      </c>
    </row>
    <row r="39" spans="2:13">
      <c r="B39" t="s">
        <v>468</v>
      </c>
      <c r="C39">
        <f t="shared" si="0"/>
        <v>0</v>
      </c>
      <c r="D39">
        <f t="shared" si="1"/>
        <v>0</v>
      </c>
      <c r="E39">
        <f t="shared" si="2"/>
        <v>0</v>
      </c>
      <c r="F39" s="18" t="str">
        <f>VLOOKUP(C39,固定値!$AA$2:$AB$7,2,FALSE)</f>
        <v>－－－</v>
      </c>
      <c r="G39" s="18" t="str">
        <f>VLOOKUP(E39,固定値!$AA$2:$AB$7,2,FALSE)</f>
        <v>－－－</v>
      </c>
      <c r="H39">
        <f>VLOOKUP(G39,固定値!$AK$2:$AM$5,IF(F39=ラベル!$G$2,2,3),FALSE)</f>
        <v>0</v>
      </c>
      <c r="I39">
        <f>VLOOKUP(G39,固定値!$AX$2:$AZ$7,3,FALSE)</f>
        <v>0</v>
      </c>
      <c r="J39" t="str">
        <f t="shared" si="3"/>
        <v>282</v>
      </c>
      <c r="K39" t="str">
        <f>IF(G39=ラベル!$G$2,"",CHAR(10)&amp;"【"&amp;B39&amp;"】"&amp;REPT("　",11-LEN(B39))&amp;"●　　　　　"&amp;IF(I39&gt;1,"●","○")&amp;"　　　　　"&amp;IF(I39&gt;2,"●","○")&amp;"　 ／")</f>
        <v/>
      </c>
      <c r="L39" t="str">
        <f>IF(G39=ラベル!$G$2,"",CHAR(10)&amp;"【"&amp;B39&amp;"】"&amp;REPT("　",8-LEN(B39))&amp;G39&amp;REPT(" ",22)&amp;J39)</f>
        <v/>
      </c>
      <c r="M39" t="s">
        <v>702</v>
      </c>
    </row>
    <row r="40" spans="2:13">
      <c r="B40" t="s">
        <v>703</v>
      </c>
      <c r="C40">
        <f t="shared" si="0"/>
        <v>0</v>
      </c>
      <c r="D40">
        <f t="shared" si="1"/>
        <v>0</v>
      </c>
      <c r="E40">
        <f t="shared" si="2"/>
        <v>0</v>
      </c>
      <c r="F40" s="18" t="str">
        <f>VLOOKUP(C40,固定値!$AA$2:$AB$7,2,FALSE)</f>
        <v>－－－</v>
      </c>
      <c r="G40" s="18" t="str">
        <f>VLOOKUP(E40,固定値!$AA$2:$AB$7,2,FALSE)</f>
        <v>－－－</v>
      </c>
      <c r="H40">
        <f>VLOOKUP(G40,固定値!$AK$2:$AM$5,IF(F40=ラベル!$G$2,2,3),FALSE)</f>
        <v>0</v>
      </c>
      <c r="I40">
        <f>VLOOKUP(G40,固定値!$AX$2:$AZ$7,3,FALSE)</f>
        <v>0</v>
      </c>
      <c r="J40" t="str">
        <f t="shared" si="3"/>
        <v>276</v>
      </c>
      <c r="K40" t="str">
        <f>IF(G40=ラベル!$G$2,"",CHAR(10)&amp;"【"&amp;B40&amp;"】"&amp;REPT("　",11-LEN(B40))&amp;"●　　　　　"&amp;IF(I40&gt;1,"●","○")&amp;"　　　　　"&amp;IF(I40&gt;2,"●","○")&amp;"　 ／")</f>
        <v/>
      </c>
      <c r="L40" t="str">
        <f>IF(G40=ラベル!$G$2,"",CHAR(10)&amp;"【"&amp;B40&amp;"】"&amp;REPT("　",8-LEN(B40))&amp;G40&amp;REPT(" ",22)&amp;J40)</f>
        <v/>
      </c>
      <c r="M40" t="s">
        <v>704</v>
      </c>
    </row>
    <row r="41" spans="2:13">
      <c r="B41" t="s">
        <v>172</v>
      </c>
      <c r="C41">
        <f t="shared" si="0"/>
        <v>0</v>
      </c>
      <c r="D41">
        <f t="shared" si="1"/>
        <v>0</v>
      </c>
      <c r="E41">
        <f t="shared" si="2"/>
        <v>0</v>
      </c>
      <c r="F41" s="18" t="str">
        <f>VLOOKUP(C41,固定値!$AA$2:$AB$7,2,FALSE)</f>
        <v>－－－</v>
      </c>
      <c r="G41" s="18" t="str">
        <f>VLOOKUP(E41,固定値!$AA$2:$AB$7,2,FALSE)</f>
        <v>－－－</v>
      </c>
      <c r="H41">
        <f>VLOOKUP(G41,固定値!$AK$2:$AM$5,IF(F41=ラベル!$G$2,2,3),FALSE)</f>
        <v>0</v>
      </c>
      <c r="I41">
        <f>VLOOKUP(G41,固定値!$AX$2:$AZ$7,3,FALSE)</f>
        <v>0</v>
      </c>
      <c r="J41" t="str">
        <f t="shared" si="3"/>
        <v>282</v>
      </c>
      <c r="K41" t="str">
        <f>IF(G41=ラベル!$G$2,"",CHAR(10)&amp;"【"&amp;B41&amp;"】"&amp;REPT("　",11-LEN(B41))&amp;"●　　　　　"&amp;IF(I41&gt;1,"●","○")&amp;"　　　　　"&amp;IF(I41&gt;2,"●","○")&amp;"　 ／")</f>
        <v/>
      </c>
      <c r="L41" t="str">
        <f>IF(G41=ラベル!$G$2,"",CHAR(10)&amp;"【"&amp;B41&amp;"】"&amp;REPT("　",8-LEN(B41))&amp;G41&amp;REPT(" ",22)&amp;J41)</f>
        <v/>
      </c>
      <c r="M41" t="s">
        <v>702</v>
      </c>
    </row>
    <row r="42" spans="2:13">
      <c r="B42" t="s">
        <v>705</v>
      </c>
      <c r="C42">
        <f t="shared" si="0"/>
        <v>0</v>
      </c>
      <c r="D42">
        <f t="shared" si="1"/>
        <v>0</v>
      </c>
      <c r="E42">
        <f t="shared" si="2"/>
        <v>0</v>
      </c>
      <c r="F42" s="18" t="str">
        <f>VLOOKUP(C42,固定値!$AA$2:$AB$7,2,FALSE)</f>
        <v>－－－</v>
      </c>
      <c r="G42" s="18" t="str">
        <f>VLOOKUP(E42,固定値!$AA$2:$AB$7,2,FALSE)</f>
        <v>－－－</v>
      </c>
      <c r="H42">
        <f>VLOOKUP(G42,固定値!$AK$2:$AM$5,IF(F42=ラベル!$G$2,2,3),FALSE)</f>
        <v>0</v>
      </c>
      <c r="I42">
        <f>VLOOKUP(G42,固定値!$AX$2:$AZ$7,3,FALSE)</f>
        <v>0</v>
      </c>
      <c r="J42" t="str">
        <f t="shared" si="3"/>
        <v>283</v>
      </c>
      <c r="K42" t="str">
        <f>IF(G42=ラベル!$G$2,"",CHAR(10)&amp;"【"&amp;B42&amp;"】"&amp;REPT("　",11-LEN(B42))&amp;"●　　　　　"&amp;IF(I42&gt;1,"●","○")&amp;"　　　　　"&amp;IF(I42&gt;2,"●","○")&amp;"　 ／")</f>
        <v/>
      </c>
      <c r="L42" t="str">
        <f>IF(G42=ラベル!$G$2,"",CHAR(10)&amp;"【"&amp;B42&amp;"】"&amp;REPT("　",8-LEN(B42))&amp;G42&amp;REPT(" ",22)&amp;J42)</f>
        <v/>
      </c>
      <c r="M42" t="s">
        <v>706</v>
      </c>
    </row>
    <row r="43" spans="2:13">
      <c r="B43" t="s">
        <v>182</v>
      </c>
      <c r="C43">
        <f t="shared" si="0"/>
        <v>0</v>
      </c>
      <c r="D43">
        <f t="shared" si="1"/>
        <v>0</v>
      </c>
      <c r="E43">
        <f t="shared" si="2"/>
        <v>0</v>
      </c>
      <c r="F43" s="18" t="str">
        <f>VLOOKUP(C43,固定値!$AA$2:$AB$7,2,FALSE)</f>
        <v>－－－</v>
      </c>
      <c r="G43" s="18" t="str">
        <f>VLOOKUP(E43,固定値!$AA$2:$AB$7,2,FALSE)</f>
        <v>－－－</v>
      </c>
      <c r="H43">
        <f>VLOOKUP(G43,固定値!$AK$2:$AM$5,IF(F43=ラベル!$G$2,2,3),FALSE)</f>
        <v>0</v>
      </c>
      <c r="I43">
        <f>VLOOKUP(G43,固定値!$AX$2:$AZ$7,3,FALSE)</f>
        <v>0</v>
      </c>
      <c r="J43" t="str">
        <f t="shared" si="3"/>
        <v>283</v>
      </c>
      <c r="K43" t="str">
        <f>IF(G43=ラベル!$G$2,"",CHAR(10)&amp;"【"&amp;B43&amp;"】"&amp;REPT("　",11-LEN(B43))&amp;"●　　　　　"&amp;IF(I43&gt;1,"●","○")&amp;"　　　　　"&amp;IF(I43&gt;2,"●","○")&amp;"　 ／")</f>
        <v/>
      </c>
      <c r="L43" t="str">
        <f>IF(G43=ラベル!$G$2,"",CHAR(10)&amp;"【"&amp;B43&amp;"】"&amp;REPT("　",8-LEN(B43))&amp;G43&amp;REPT(" ",22)&amp;J43)</f>
        <v/>
      </c>
      <c r="M43" t="s">
        <v>706</v>
      </c>
    </row>
    <row r="44" spans="2:13">
      <c r="B44" t="s">
        <v>707</v>
      </c>
      <c r="C44">
        <f t="shared" si="0"/>
        <v>0</v>
      </c>
      <c r="D44">
        <f t="shared" si="1"/>
        <v>0</v>
      </c>
      <c r="E44">
        <f t="shared" si="2"/>
        <v>0</v>
      </c>
      <c r="F44" s="18" t="str">
        <f>VLOOKUP(C44,固定値!$AA$2:$AB$7,2,FALSE)</f>
        <v>－－－</v>
      </c>
      <c r="G44" s="18" t="str">
        <f>VLOOKUP(E44,固定値!$AA$2:$AB$7,2,FALSE)</f>
        <v>－－－</v>
      </c>
      <c r="H44">
        <f>VLOOKUP(G44,固定値!$AK$2:$AM$5,IF(F44=ラベル!$G$2,2,3),FALSE)</f>
        <v>0</v>
      </c>
      <c r="I44">
        <f>VLOOKUP(G44,固定値!$AX$2:$AZ$7,3,FALSE)</f>
        <v>0</v>
      </c>
      <c r="J44" t="str">
        <f t="shared" si="3"/>
        <v>277</v>
      </c>
      <c r="K44" t="str">
        <f>IF(G44=ラベル!$G$2,"",CHAR(10)&amp;"【"&amp;B44&amp;"】"&amp;REPT("　",11-LEN(B44))&amp;"●　　　　　"&amp;IF(I44&gt;1,"●","○")&amp;"　　　　　"&amp;IF(I44&gt;2,"●","○")&amp;"　 ／")</f>
        <v/>
      </c>
      <c r="L44" t="str">
        <f>IF(G44=ラベル!$G$2,"",CHAR(10)&amp;"【"&amp;B44&amp;"】"&amp;REPT("　",8-LEN(B44))&amp;G44&amp;REPT(" ",22)&amp;J44)</f>
        <v/>
      </c>
      <c r="M44" t="s">
        <v>669</v>
      </c>
    </row>
    <row r="45" spans="2:13">
      <c r="B45" t="s">
        <v>708</v>
      </c>
      <c r="C45">
        <f t="shared" si="0"/>
        <v>0</v>
      </c>
      <c r="D45">
        <f t="shared" si="1"/>
        <v>0</v>
      </c>
      <c r="E45">
        <f t="shared" si="2"/>
        <v>0</v>
      </c>
      <c r="F45" s="18" t="str">
        <f>VLOOKUP(C45,固定値!$AA$2:$AB$7,2,FALSE)</f>
        <v>－－－</v>
      </c>
      <c r="G45" s="18" t="str">
        <f>VLOOKUP(E45,固定値!$AA$2:$AB$7,2,FALSE)</f>
        <v>－－－</v>
      </c>
      <c r="H45">
        <f>VLOOKUP(G45,固定値!$AK$2:$AM$5,IF(F45=ラベル!$G$2,2,3),FALSE)</f>
        <v>0</v>
      </c>
      <c r="I45">
        <f>VLOOKUP(G45,固定値!$AX$2:$BA$7,4,FALSE)</f>
        <v>0</v>
      </c>
      <c r="J45" t="str">
        <f t="shared" si="3"/>
        <v>292</v>
      </c>
      <c r="K45" t="str">
        <f>IF(G45=ラベル!$G$2,"",CHAR(10)&amp;"【"&amp;B45&amp;"】"&amp;REPT("　",11-LEN(B45))&amp;"●　　　　　"&amp;IF(I45&gt;1,"●","○")&amp;"　　　　　"&amp;IF(I45&gt;2,"●","○")&amp;"　 ／")</f>
        <v/>
      </c>
      <c r="L45" t="str">
        <f>IF(G45=ラベル!$G$2,"",CHAR(10)&amp;"【"&amp;B45&amp;"】"&amp;REPT("　",8-LEN(B45))&amp;G45&amp;REPT(" ",22)&amp;J45)</f>
        <v/>
      </c>
      <c r="M45" t="s">
        <v>663</v>
      </c>
    </row>
    <row r="46" spans="2:13">
      <c r="B46" t="s">
        <v>709</v>
      </c>
      <c r="C46">
        <f t="shared" si="0"/>
        <v>0</v>
      </c>
      <c r="D46">
        <f t="shared" si="1"/>
        <v>0</v>
      </c>
      <c r="E46">
        <f t="shared" si="2"/>
        <v>0</v>
      </c>
      <c r="F46" s="18" t="str">
        <f>VLOOKUP(C46,固定値!$AA$2:$AB$7,2,FALSE)</f>
        <v>－－－</v>
      </c>
      <c r="G46" s="18" t="str">
        <f>VLOOKUP(E46,固定値!$AA$2:$AB$7,2,FALSE)</f>
        <v>－－－</v>
      </c>
      <c r="H46">
        <f>VLOOKUP(G46,固定値!$AK$2:$AM$5,IF(F46=ラベル!$G$2,2,3),FALSE)</f>
        <v>0</v>
      </c>
      <c r="I46">
        <f>VLOOKUP(G46,固定値!$AX$2:$AZ$7,3,FALSE)</f>
        <v>0</v>
      </c>
      <c r="J46" t="str">
        <f t="shared" si="3"/>
        <v>284</v>
      </c>
      <c r="K46" t="str">
        <f>IF(G46=ラベル!$G$2,"",CHAR(10)&amp;"【"&amp;B46&amp;"】"&amp;REPT("　",11-LEN(B46))&amp;"●　　　　　"&amp;IF(I46&gt;1,"●","○")&amp;"　　　　　"&amp;IF(I46&gt;2,"●","○")&amp;"　 ／")</f>
        <v/>
      </c>
      <c r="L46" t="str">
        <f>IF(G46=ラベル!$G$2,"",CHAR(10)&amp;"【"&amp;B46&amp;"】"&amp;REPT("　",8-LEN(B46))&amp;G46&amp;REPT(" ",22)&amp;J46)</f>
        <v/>
      </c>
      <c r="M46" t="s">
        <v>710</v>
      </c>
    </row>
    <row r="47" spans="2:13">
      <c r="B47" t="s">
        <v>711</v>
      </c>
      <c r="C47">
        <f t="shared" si="0"/>
        <v>0</v>
      </c>
      <c r="D47">
        <f t="shared" si="1"/>
        <v>0</v>
      </c>
      <c r="E47">
        <f t="shared" si="2"/>
        <v>0</v>
      </c>
      <c r="F47" s="18" t="str">
        <f>VLOOKUP(C47,固定値!$AA$2:$AB$7,2,FALSE)</f>
        <v>－－－</v>
      </c>
      <c r="G47" s="18" t="str">
        <f>VLOOKUP(E47,固定値!$AA$2:$AB$7,2,FALSE)</f>
        <v>－－－</v>
      </c>
      <c r="H47">
        <f>VLOOKUP(G47,固定値!$AK$2:$AM$5,IF(F47=ラベル!$G$2,2,3),FALSE)</f>
        <v>0</v>
      </c>
      <c r="I47">
        <f>VLOOKUP(G47,固定値!$AX$2:$AZ$7,3,FALSE)</f>
        <v>0</v>
      </c>
      <c r="J47" t="str">
        <f t="shared" si="3"/>
        <v>284</v>
      </c>
      <c r="K47" t="str">
        <f>IF(G47=ラベル!$G$2,"",CHAR(10)&amp;"【"&amp;B47&amp;"】"&amp;REPT("　",11-LEN(B47))&amp;"●　　　　　"&amp;IF(I47&gt;1,"●","○")&amp;"　　　　　"&amp;IF(I47&gt;2,"●","○")&amp;"　 ／")</f>
        <v/>
      </c>
      <c r="L47" t="str">
        <f>IF(G47=ラベル!$G$2,"",CHAR(10)&amp;"【"&amp;B47&amp;"】"&amp;REPT("　",8-LEN(B47))&amp;G47&amp;REPT(" ",22)&amp;J47)</f>
        <v/>
      </c>
      <c r="M47" t="s">
        <v>710</v>
      </c>
    </row>
    <row r="51" spans="2:11">
      <c r="B51" t="s">
        <v>712</v>
      </c>
      <c r="F51" t="str">
        <f>VLOOKUP(プロフィール!C3,固定値!CU2:CX6,2,FALSE)</f>
        <v>荷重行動：初歩</v>
      </c>
      <c r="G51">
        <f t="shared" ref="G51:G56" si="8">IF(F51="なし","",IF(K51=1,FIND("：",F51),FIND("：",F51,FIND("：",F51)+1)))</f>
        <v>5</v>
      </c>
      <c r="H51" t="str">
        <f>IF(G51="","",LEFT(F51,G51-1))</f>
        <v>荷重行動</v>
      </c>
      <c r="I51" t="str">
        <f>IF(H51="",0,RIGHT(F51,LEN(F51)-G51))</f>
        <v>初歩</v>
      </c>
      <c r="J51">
        <f>IF(H51="",0,VLOOKUP(I51,固定値!$AD$2:$AE$7,2,FALSE))</f>
        <v>1</v>
      </c>
      <c r="K51">
        <f t="shared" ref="K51:K56" si="9">LEN(F51)-LEN(SUBSTITUTE(F51,"：",""))</f>
        <v>1</v>
      </c>
    </row>
    <row r="52" spans="2:11">
      <c r="B52" t="s">
        <v>713</v>
      </c>
      <c r="F52" t="str">
        <f>VLOOKUP(プロフィール!C3,固定値!CU2:CX6,3,FALSE)</f>
        <v>武器：投擲武器：初歩</v>
      </c>
      <c r="G52">
        <f t="shared" si="8"/>
        <v>8</v>
      </c>
      <c r="H52" t="str">
        <f t="shared" ref="H52:H53" si="10">IF(G52="","",LEFT(F52,G52-1))</f>
        <v>武器：投擲武器</v>
      </c>
      <c r="I52" t="str">
        <f t="shared" ref="I52:I53" si="11">IF(H52="",0,RIGHT(F52,LEN(F52)-G52))</f>
        <v>初歩</v>
      </c>
      <c r="J52">
        <f>IF(H52="",0,VLOOKUP(I52,固定値!$AD$2:$AE$7,2,FALSE))</f>
        <v>1</v>
      </c>
      <c r="K52">
        <f t="shared" si="9"/>
        <v>2</v>
      </c>
    </row>
    <row r="53" spans="2:11">
      <c r="B53" t="s">
        <v>714</v>
      </c>
      <c r="F53" t="str">
        <f>VLOOKUP(プロフィール!C3,固定値!CU2:CX6,4,FALSE)</f>
        <v>長距離移動：初歩</v>
      </c>
      <c r="G53">
        <f t="shared" si="8"/>
        <v>6</v>
      </c>
      <c r="H53" t="str">
        <f t="shared" si="10"/>
        <v>長距離移動</v>
      </c>
      <c r="I53" t="str">
        <f t="shared" si="11"/>
        <v>初歩</v>
      </c>
      <c r="J53">
        <f>IF(H53="",0,VLOOKUP(I53,固定値!$AD$2:$AE$7,2,FALSE))</f>
        <v>1</v>
      </c>
      <c r="K53">
        <f t="shared" si="9"/>
        <v>1</v>
      </c>
    </row>
    <row r="54" spans="2:11">
      <c r="B54" t="str">
        <f>作成シート!B34</f>
        <v>技能出自ボーナス(1)</v>
      </c>
      <c r="F54" t="str">
        <f>作成シート!C34</f>
        <v>騎乗：初歩</v>
      </c>
      <c r="G54">
        <f t="shared" si="8"/>
        <v>3</v>
      </c>
      <c r="H54" t="str">
        <f t="shared" ref="H54:H56" si="12">IF(G54="","",LEFT(F54,G54-1))</f>
        <v>騎乗</v>
      </c>
      <c r="I54" t="str">
        <f t="shared" ref="I54:I56" si="13">IF(H54="",0,RIGHT(F54,LEN(F54)-G54))</f>
        <v>初歩</v>
      </c>
      <c r="J54">
        <f>IF(H54="",0,VLOOKUP(I54,固定値!$AD$2:$AE$7,2,FALSE))</f>
        <v>1</v>
      </c>
      <c r="K54">
        <f t="shared" si="9"/>
        <v>1</v>
      </c>
    </row>
    <row r="55" spans="2:11">
      <c r="B55" t="str">
        <f>作成シート!B35</f>
        <v>技能出自ボーナス(2)</v>
      </c>
      <c r="F55" t="str">
        <f>作成シート!C35</f>
        <v>なし</v>
      </c>
      <c r="G55" t="str">
        <f t="shared" si="8"/>
        <v/>
      </c>
      <c r="H55" t="str">
        <f t="shared" si="12"/>
        <v/>
      </c>
      <c r="I55">
        <f t="shared" si="13"/>
        <v>0</v>
      </c>
      <c r="J55">
        <f>IF(H55="",0,VLOOKUP(I55,固定値!$AD$2:$AE$7,2,FALSE))</f>
        <v>0</v>
      </c>
      <c r="K55">
        <f t="shared" si="9"/>
        <v>0</v>
      </c>
    </row>
    <row r="56" spans="2:11">
      <c r="B56" t="str">
        <f>作成シート!B36</f>
        <v>技能来歴ボーナス</v>
      </c>
      <c r="F56" t="str">
        <f>作成シート!C36</f>
        <v>幸運：初歩</v>
      </c>
      <c r="G56">
        <f t="shared" si="8"/>
        <v>3</v>
      </c>
      <c r="H56" t="str">
        <f t="shared" si="12"/>
        <v>幸運</v>
      </c>
      <c r="I56" t="str">
        <f t="shared" si="13"/>
        <v>初歩</v>
      </c>
      <c r="J56">
        <f>IF(H56="",0,VLOOKUP(I56,固定値!$AD$2:$AE$7,2,FALSE))</f>
        <v>1</v>
      </c>
      <c r="K56">
        <f t="shared" si="9"/>
        <v>1</v>
      </c>
    </row>
    <row r="59" spans="2:11">
      <c r="B59" t="str">
        <f>作成シート!B53</f>
        <v>習得技能(1)</v>
      </c>
      <c r="F59" t="str">
        <f>作成シート!C53</f>
        <v>頑健：初歩</v>
      </c>
      <c r="G59">
        <f t="shared" ref="G59:G82" si="14">IF(F59="なし","",IF(K59=1,FIND("：",F59),FIND("：",F59,FIND("：",F59)+1)))</f>
        <v>3</v>
      </c>
      <c r="H59" t="str">
        <f t="shared" ref="H59:H82" si="15">IF(G59="","",LEFT(F59,G59-1))</f>
        <v>頑健</v>
      </c>
      <c r="I59" t="str">
        <f t="shared" ref="I59:I82" si="16">IF(H59="",0,RIGHT(F59,LEN(F59)-G59))</f>
        <v>初歩</v>
      </c>
      <c r="J59">
        <f>IF(H59="",0,VLOOKUP(I59,固定値!$AD$2:$AE$7,2,FALSE))</f>
        <v>1</v>
      </c>
      <c r="K59">
        <f t="shared" ref="K59:K82" si="17">LEN(F59)-LEN(SUBSTITUTE(F59,"：",""))</f>
        <v>1</v>
      </c>
    </row>
    <row r="60" spans="2:11">
      <c r="B60" t="str">
        <f>作成シート!B54</f>
        <v>習得技能(2)</v>
      </c>
      <c r="F60" t="str">
        <f>作成シート!C54</f>
        <v>挑発：初歩</v>
      </c>
      <c r="G60">
        <f t="shared" si="14"/>
        <v>3</v>
      </c>
      <c r="H60" t="str">
        <f t="shared" si="15"/>
        <v>挑発</v>
      </c>
      <c r="I60" t="str">
        <f t="shared" si="16"/>
        <v>初歩</v>
      </c>
      <c r="J60">
        <f>IF(H60="",0,VLOOKUP(I60,固定値!$AD$2:$AE$7,2,FALSE))</f>
        <v>1</v>
      </c>
      <c r="K60">
        <f t="shared" si="17"/>
        <v>1</v>
      </c>
    </row>
    <row r="61" spans="2:11">
      <c r="B61" t="str">
        <f>作成シート!B55</f>
        <v>習得技能(3)</v>
      </c>
      <c r="F61" t="str">
        <f>作成シート!C55</f>
        <v>なし</v>
      </c>
      <c r="G61" t="str">
        <f t="shared" si="14"/>
        <v/>
      </c>
      <c r="H61" t="str">
        <f t="shared" si="15"/>
        <v/>
      </c>
      <c r="I61">
        <f t="shared" si="16"/>
        <v>0</v>
      </c>
      <c r="J61">
        <f>IF(H61="",0,VLOOKUP(I61,固定値!$AD$2:$AE$7,2,FALSE))</f>
        <v>0</v>
      </c>
      <c r="K61">
        <f t="shared" si="17"/>
        <v>0</v>
      </c>
    </row>
    <row r="62" spans="2:11">
      <c r="B62" t="str">
        <f>作成シート!B56</f>
        <v>習得技能(4)</v>
      </c>
      <c r="F62" t="str">
        <f>作成シート!C56</f>
        <v>なし</v>
      </c>
      <c r="G62" t="str">
        <f t="shared" si="14"/>
        <v/>
      </c>
      <c r="H62" t="str">
        <f t="shared" si="15"/>
        <v/>
      </c>
      <c r="I62">
        <f t="shared" si="16"/>
        <v>0</v>
      </c>
      <c r="J62">
        <f>IF(H62="",0,VLOOKUP(I62,固定値!$AD$2:$AE$7,2,FALSE))</f>
        <v>0</v>
      </c>
      <c r="K62">
        <f t="shared" si="17"/>
        <v>0</v>
      </c>
    </row>
    <row r="63" spans="2:11">
      <c r="B63" t="str">
        <f>作成シート!B57</f>
        <v>習得技能(5)</v>
      </c>
      <c r="F63" t="str">
        <f>作成シート!C57</f>
        <v>なし</v>
      </c>
      <c r="G63" t="str">
        <f t="shared" si="14"/>
        <v/>
      </c>
      <c r="H63" t="str">
        <f t="shared" si="15"/>
        <v/>
      </c>
      <c r="I63">
        <f t="shared" si="16"/>
        <v>0</v>
      </c>
      <c r="J63">
        <f>IF(H63="",0,VLOOKUP(I63,固定値!$AD$2:$AE$7,2,FALSE))</f>
        <v>0</v>
      </c>
      <c r="K63">
        <f t="shared" si="17"/>
        <v>0</v>
      </c>
    </row>
    <row r="64" spans="2:11">
      <c r="B64" t="str">
        <f>作成シート!B58</f>
        <v>習得技能(6)</v>
      </c>
      <c r="F64" t="str">
        <f>作成シート!C58</f>
        <v>なし</v>
      </c>
      <c r="G64" t="str">
        <f t="shared" si="14"/>
        <v/>
      </c>
      <c r="H64" t="str">
        <f t="shared" si="15"/>
        <v/>
      </c>
      <c r="I64">
        <f t="shared" si="16"/>
        <v>0</v>
      </c>
      <c r="J64">
        <f>IF(H64="",0,VLOOKUP(I64,固定値!$AD$2:$AE$7,2,FALSE))</f>
        <v>0</v>
      </c>
      <c r="K64">
        <f t="shared" si="17"/>
        <v>0</v>
      </c>
    </row>
    <row r="65" spans="2:11">
      <c r="B65" t="str">
        <f>作成シート!B59</f>
        <v>習得技能(7)</v>
      </c>
      <c r="F65" t="str">
        <f>作成シート!C59</f>
        <v>なし</v>
      </c>
      <c r="G65" t="str">
        <f t="shared" si="14"/>
        <v/>
      </c>
      <c r="H65" t="str">
        <f t="shared" si="15"/>
        <v/>
      </c>
      <c r="I65">
        <f t="shared" si="16"/>
        <v>0</v>
      </c>
      <c r="J65">
        <f>IF(H65="",0,VLOOKUP(I65,固定値!$AD$2:$AE$7,2,FALSE))</f>
        <v>0</v>
      </c>
      <c r="K65">
        <f t="shared" si="17"/>
        <v>0</v>
      </c>
    </row>
    <row r="66" spans="2:11">
      <c r="B66" t="str">
        <f>作成シート!B60</f>
        <v>習得技能(8)</v>
      </c>
      <c r="F66" t="str">
        <f>作成シート!C60</f>
        <v>なし</v>
      </c>
      <c r="G66" t="str">
        <f t="shared" si="14"/>
        <v/>
      </c>
      <c r="H66" t="str">
        <f t="shared" si="15"/>
        <v/>
      </c>
      <c r="I66">
        <f t="shared" si="16"/>
        <v>0</v>
      </c>
      <c r="J66">
        <f>IF(H66="",0,VLOOKUP(I66,固定値!$AD$2:$AE$7,2,FALSE))</f>
        <v>0</v>
      </c>
      <c r="K66">
        <f t="shared" si="17"/>
        <v>0</v>
      </c>
    </row>
    <row r="67" spans="2:11">
      <c r="B67" t="str">
        <f>作成シート!B61</f>
        <v>習得技能(9)</v>
      </c>
      <c r="F67" t="str">
        <f>作成シート!C61</f>
        <v>なし</v>
      </c>
      <c r="G67" t="str">
        <f t="shared" si="14"/>
        <v/>
      </c>
      <c r="H67" t="str">
        <f t="shared" si="15"/>
        <v/>
      </c>
      <c r="I67">
        <f t="shared" si="16"/>
        <v>0</v>
      </c>
      <c r="J67">
        <f>IF(H67="",0,VLOOKUP(I67,固定値!$AD$2:$AE$7,2,FALSE))</f>
        <v>0</v>
      </c>
      <c r="K67">
        <f t="shared" si="17"/>
        <v>0</v>
      </c>
    </row>
    <row r="68" spans="2:11">
      <c r="B68" t="str">
        <f>作成シート!B62</f>
        <v>習得技能(10)</v>
      </c>
      <c r="F68" t="str">
        <f>作成シート!C62</f>
        <v>なし</v>
      </c>
      <c r="G68" t="str">
        <f t="shared" si="14"/>
        <v/>
      </c>
      <c r="H68" t="str">
        <f t="shared" si="15"/>
        <v/>
      </c>
      <c r="I68">
        <f t="shared" si="16"/>
        <v>0</v>
      </c>
      <c r="J68">
        <f>IF(H68="",0,VLOOKUP(I68,固定値!$AD$2:$AE$7,2,FALSE))</f>
        <v>0</v>
      </c>
      <c r="K68">
        <f t="shared" si="17"/>
        <v>0</v>
      </c>
    </row>
    <row r="69" spans="2:11">
      <c r="B69" t="str">
        <f>作成シート!B63</f>
        <v>習得技能(11)</v>
      </c>
      <c r="F69" t="str">
        <f>作成シート!C63</f>
        <v>なし</v>
      </c>
      <c r="G69" t="str">
        <f t="shared" si="14"/>
        <v/>
      </c>
      <c r="H69" t="str">
        <f t="shared" si="15"/>
        <v/>
      </c>
      <c r="I69">
        <f t="shared" si="16"/>
        <v>0</v>
      </c>
      <c r="J69">
        <f>IF(H69="",0,VLOOKUP(I69,固定値!$AD$2:$AE$7,2,FALSE))</f>
        <v>0</v>
      </c>
      <c r="K69">
        <f t="shared" si="17"/>
        <v>0</v>
      </c>
    </row>
    <row r="70" spans="2:11">
      <c r="B70" t="str">
        <f>作成シート!B64</f>
        <v>習得技能(12)</v>
      </c>
      <c r="F70" t="str">
        <f>作成シート!C64</f>
        <v>なし</v>
      </c>
      <c r="G70" t="str">
        <f t="shared" si="14"/>
        <v/>
      </c>
      <c r="H70" t="str">
        <f t="shared" si="15"/>
        <v/>
      </c>
      <c r="I70">
        <f t="shared" si="16"/>
        <v>0</v>
      </c>
      <c r="J70">
        <f>IF(H70="",0,VLOOKUP(I70,固定値!$AD$2:$AE$7,2,FALSE))</f>
        <v>0</v>
      </c>
      <c r="K70">
        <f t="shared" si="17"/>
        <v>0</v>
      </c>
    </row>
    <row r="71" spans="2:11">
      <c r="B71" t="str">
        <f>作成シート!B65</f>
        <v>習得技能(13)</v>
      </c>
      <c r="F71" t="str">
        <f>作成シート!C65</f>
        <v>なし</v>
      </c>
      <c r="G71" t="str">
        <f t="shared" si="14"/>
        <v/>
      </c>
      <c r="H71" t="str">
        <f t="shared" si="15"/>
        <v/>
      </c>
      <c r="I71">
        <f t="shared" si="16"/>
        <v>0</v>
      </c>
      <c r="J71">
        <f>IF(H71="",0,VLOOKUP(I71,固定値!$AD$2:$AE$7,2,FALSE))</f>
        <v>0</v>
      </c>
      <c r="K71">
        <f t="shared" si="17"/>
        <v>0</v>
      </c>
    </row>
    <row r="72" spans="2:11">
      <c r="B72" t="str">
        <f>作成シート!B66</f>
        <v>習得技能(14)</v>
      </c>
      <c r="F72" t="str">
        <f>作成シート!C66</f>
        <v>なし</v>
      </c>
      <c r="G72" t="str">
        <f t="shared" si="14"/>
        <v/>
      </c>
      <c r="H72" t="str">
        <f t="shared" si="15"/>
        <v/>
      </c>
      <c r="I72">
        <f t="shared" si="16"/>
        <v>0</v>
      </c>
      <c r="J72">
        <f>IF(H72="",0,VLOOKUP(I72,固定値!$AD$2:$AE$7,2,FALSE))</f>
        <v>0</v>
      </c>
      <c r="K72">
        <f t="shared" si="17"/>
        <v>0</v>
      </c>
    </row>
    <row r="73" spans="2:11">
      <c r="B73" t="str">
        <f>作成シート!B67</f>
        <v>習得技能(15)</v>
      </c>
      <c r="F73" t="str">
        <f>作成シート!C67</f>
        <v>なし</v>
      </c>
      <c r="G73" t="str">
        <f t="shared" si="14"/>
        <v/>
      </c>
      <c r="H73" t="str">
        <f t="shared" si="15"/>
        <v/>
      </c>
      <c r="I73">
        <f t="shared" si="16"/>
        <v>0</v>
      </c>
      <c r="J73">
        <f>IF(H73="",0,VLOOKUP(I73,固定値!$AD$2:$AE$7,2,FALSE))</f>
        <v>0</v>
      </c>
      <c r="K73">
        <f t="shared" si="17"/>
        <v>0</v>
      </c>
    </row>
    <row r="74" spans="2:11">
      <c r="B74" t="str">
        <f>作成シート!B68</f>
        <v>習得技能(16)</v>
      </c>
      <c r="F74" t="str">
        <f>作成シート!C68</f>
        <v>なし</v>
      </c>
      <c r="G74" t="str">
        <f t="shared" si="14"/>
        <v/>
      </c>
      <c r="H74" t="str">
        <f t="shared" si="15"/>
        <v/>
      </c>
      <c r="I74">
        <f t="shared" si="16"/>
        <v>0</v>
      </c>
      <c r="J74">
        <f>IF(H74="",0,VLOOKUP(I74,固定値!$AD$2:$AE$7,2,FALSE))</f>
        <v>0</v>
      </c>
      <c r="K74">
        <f t="shared" si="17"/>
        <v>0</v>
      </c>
    </row>
    <row r="75" spans="2:11">
      <c r="B75" t="str">
        <f>作成シート!B69</f>
        <v>習得技能(17)</v>
      </c>
      <c r="F75" t="str">
        <f>作成シート!C69</f>
        <v>なし</v>
      </c>
      <c r="G75" t="str">
        <f t="shared" si="14"/>
        <v/>
      </c>
      <c r="H75" t="str">
        <f t="shared" si="15"/>
        <v/>
      </c>
      <c r="I75">
        <f t="shared" si="16"/>
        <v>0</v>
      </c>
      <c r="J75">
        <f>IF(H75="",0,VLOOKUP(I75,固定値!$AD$2:$AE$7,2,FALSE))</f>
        <v>0</v>
      </c>
      <c r="K75">
        <f t="shared" si="17"/>
        <v>0</v>
      </c>
    </row>
    <row r="76" spans="2:11">
      <c r="B76" t="str">
        <f>作成シート!B70</f>
        <v>習得技能(18)</v>
      </c>
      <c r="F76" t="str">
        <f>作成シート!C70</f>
        <v>なし</v>
      </c>
      <c r="G76" t="str">
        <f t="shared" si="14"/>
        <v/>
      </c>
      <c r="H76" t="str">
        <f t="shared" si="15"/>
        <v/>
      </c>
      <c r="I76">
        <f t="shared" si="16"/>
        <v>0</v>
      </c>
      <c r="J76">
        <f>IF(H76="",0,VLOOKUP(I76,固定値!$AD$2:$AE$7,2,FALSE))</f>
        <v>0</v>
      </c>
      <c r="K76">
        <f t="shared" si="17"/>
        <v>0</v>
      </c>
    </row>
    <row r="77" spans="2:11">
      <c r="B77" t="str">
        <f>作成シート!B71</f>
        <v>習得技能(19)</v>
      </c>
      <c r="F77" t="str">
        <f>作成シート!C71</f>
        <v>なし</v>
      </c>
      <c r="G77" t="str">
        <f t="shared" si="14"/>
        <v/>
      </c>
      <c r="H77" t="str">
        <f t="shared" si="15"/>
        <v/>
      </c>
      <c r="I77">
        <f t="shared" si="16"/>
        <v>0</v>
      </c>
      <c r="J77">
        <f>IF(H77="",0,VLOOKUP(I77,固定値!$AD$2:$AE$7,2,FALSE))</f>
        <v>0</v>
      </c>
      <c r="K77">
        <f t="shared" si="17"/>
        <v>0</v>
      </c>
    </row>
    <row r="78" spans="2:11">
      <c r="B78" t="str">
        <f>作成シート!B72</f>
        <v>習得技能(20)</v>
      </c>
      <c r="F78" t="str">
        <f>作成シート!C72</f>
        <v>なし</v>
      </c>
      <c r="G78" t="str">
        <f t="shared" si="14"/>
        <v/>
      </c>
      <c r="H78" t="str">
        <f t="shared" si="15"/>
        <v/>
      </c>
      <c r="I78">
        <f t="shared" si="16"/>
        <v>0</v>
      </c>
      <c r="J78">
        <f>IF(H78="",0,VLOOKUP(I78,固定値!$AD$2:$AE$7,2,FALSE))</f>
        <v>0</v>
      </c>
      <c r="K78">
        <f t="shared" si="17"/>
        <v>0</v>
      </c>
    </row>
    <row r="79" spans="2:11">
      <c r="B79" t="str">
        <f>作成シート!B73</f>
        <v>習得技能(21)</v>
      </c>
      <c r="F79" t="str">
        <f>作成シート!C73</f>
        <v>なし</v>
      </c>
      <c r="G79" t="str">
        <f t="shared" si="14"/>
        <v/>
      </c>
      <c r="H79" t="str">
        <f t="shared" si="15"/>
        <v/>
      </c>
      <c r="I79">
        <f t="shared" si="16"/>
        <v>0</v>
      </c>
      <c r="J79">
        <f>IF(H79="",0,VLOOKUP(I79,固定値!$AD$2:$AE$7,2,FALSE))</f>
        <v>0</v>
      </c>
      <c r="K79">
        <f t="shared" si="17"/>
        <v>0</v>
      </c>
    </row>
    <row r="80" spans="2:11">
      <c r="B80" t="str">
        <f>作成シート!B74</f>
        <v>習得技能(22)</v>
      </c>
      <c r="F80" t="str">
        <f>作成シート!C74</f>
        <v>なし</v>
      </c>
      <c r="G80" t="str">
        <f t="shared" si="14"/>
        <v/>
      </c>
      <c r="H80" t="str">
        <f t="shared" si="15"/>
        <v/>
      </c>
      <c r="I80">
        <f t="shared" si="16"/>
        <v>0</v>
      </c>
      <c r="J80">
        <f>IF(H80="",0,VLOOKUP(I80,固定値!$AD$2:$AE$7,2,FALSE))</f>
        <v>0</v>
      </c>
      <c r="K80">
        <f t="shared" si="17"/>
        <v>0</v>
      </c>
    </row>
    <row r="81" spans="2:11">
      <c r="B81" t="str">
        <f>作成シート!B75</f>
        <v>習得技能(23)</v>
      </c>
      <c r="F81" t="str">
        <f>作成シート!C75</f>
        <v>なし</v>
      </c>
      <c r="G81" t="str">
        <f t="shared" si="14"/>
        <v/>
      </c>
      <c r="H81" t="str">
        <f t="shared" si="15"/>
        <v/>
      </c>
      <c r="I81">
        <f t="shared" si="16"/>
        <v>0</v>
      </c>
      <c r="J81">
        <f>IF(H81="",0,VLOOKUP(I81,固定値!$AD$2:$AE$7,2,FALSE))</f>
        <v>0</v>
      </c>
      <c r="K81">
        <f t="shared" si="17"/>
        <v>0</v>
      </c>
    </row>
    <row r="82" spans="2:11">
      <c r="B82" t="str">
        <f>作成シート!B76</f>
        <v>習得技能(24)</v>
      </c>
      <c r="F82" t="str">
        <f>作成シート!C76</f>
        <v>なし</v>
      </c>
      <c r="G82" t="str">
        <f t="shared" si="14"/>
        <v/>
      </c>
      <c r="H82" t="str">
        <f t="shared" si="15"/>
        <v/>
      </c>
      <c r="I82">
        <f t="shared" si="16"/>
        <v>0</v>
      </c>
      <c r="J82">
        <f>IF(H82="",0,VLOOKUP(I82,固定値!$AD$2:$AE$7,2,FALSE))</f>
        <v>0</v>
      </c>
      <c r="K82">
        <f t="shared" si="17"/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equal" id="{D51F007D-5784-4699-B6B9-28EBACA22501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8" operator="equal" id="{9D2F230E-530A-4AC2-8D99-51311F123BC0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9" operator="equal" id="{FD5E1EF3-AB08-491E-A053-8877E2E1CBC8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" operator="equal" id="{2DB578C6-79B3-40B9-9880-65513570BAD2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648A2AFF-6672-48F3-B0DD-D3C00B48BA79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" operator="equal" id="{AF740CC1-4495-4FB9-B2AC-2EC7DEBB62E8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F3:G6 F8:G47</xm:sqref>
        </x14:conditionalFormatting>
        <x14:conditionalFormatting xmlns:xm="http://schemas.microsoft.com/office/excel/2006/main">
          <x14:cfRule type="cellIs" priority="1" operator="equal" id="{B85DA7E6-CFD2-4275-B9BF-61F3824339D1}">
            <xm:f>ラベル!$G$7</xm:f>
            <x14:dxf>
              <fill>
                <patternFill>
                  <bgColor rgb="FFCC66FF"/>
                </patternFill>
              </fill>
            </x14:dxf>
          </x14:cfRule>
          <x14:cfRule type="cellIs" priority="2" operator="equal" id="{BF5AF976-CB83-44A9-9E53-59F37D978DDF}">
            <xm:f>ラベル!$G$6</xm:f>
            <x14:dxf>
              <fill>
                <patternFill>
                  <bgColor rgb="FFFF99CC"/>
                </patternFill>
              </fill>
            </x14:dxf>
          </x14:cfRule>
          <x14:cfRule type="cellIs" priority="3" operator="equal" id="{09A40040-0457-4F7B-8B63-DBA3823324FE}">
            <xm:f>ラベル!$G$5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" operator="equal" id="{94B52127-7139-44B0-BCB6-C1656B7C373F}">
            <xm:f>ラベル!$G$4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" operator="equal" id="{465FFC20-22DA-4118-9DFA-1C8093817CC2}">
            <xm:f>ラベル!$G$3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" operator="equal" id="{00DDF159-E6F4-470B-92BC-FDCA6CFB1402}">
            <xm:f>ラベル!$G$2</xm:f>
            <x14:dxf>
              <fill>
                <patternFill>
                  <bgColor theme="0" tint="-0.24994659260841701"/>
                </patternFill>
              </fill>
            </x14:dxf>
          </x14:cfRule>
          <xm:sqref>F7:G7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ラベル!$F$2:$F$3</xm:f>
          </x14:formula1>
          <xm:sqref>F3:F47</xm:sqref>
        </x14:dataValidation>
        <x14:dataValidation type="list" allowBlank="1" showInputMessage="1" showErrorMessage="1">
          <x14:formula1>
            <xm:f>ラベル!$H$2:$H$5</xm:f>
          </x14:formula1>
          <xm:sqref>G3:G47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C3"/>
  <sheetViews>
    <sheetView workbookViewId="0">
      <selection activeCell="X22" sqref="X22"/>
    </sheetView>
  </sheetViews>
  <sheetFormatPr defaultRowHeight="13"/>
  <sheetData>
    <row r="2" spans="2:3">
      <c r="B2" t="s">
        <v>55</v>
      </c>
      <c r="C2" t="s">
        <v>521</v>
      </c>
    </row>
    <row r="3" spans="2:3">
      <c r="B3">
        <f>作成シート!C42</f>
        <v>0</v>
      </c>
      <c r="C3">
        <f>B3*500</f>
        <v>0</v>
      </c>
    </row>
  </sheetData>
  <sheetProtection sheet="1" objects="1" scenarios="1" selectLockedCells="1" selectUnlockedCells="1"/>
  <phoneticPr fontId="2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G131"/>
  <sheetViews>
    <sheetView topLeftCell="A81" workbookViewId="0">
      <selection activeCell="C131" sqref="C131"/>
    </sheetView>
  </sheetViews>
  <sheetFormatPr defaultRowHeight="13"/>
  <cols>
    <col min="2" max="2" width="23.453125" bestFit="1" customWidth="1"/>
    <col min="4" max="4" width="82.36328125" customWidth="1"/>
  </cols>
  <sheetData>
    <row r="1" spans="2:7" ht="119.5" customHeight="1">
      <c r="C1" t="s">
        <v>715</v>
      </c>
      <c r="D1" s="6" t="str">
        <f>D2&amp;D3&amp;D4&amp;D5&amp;D6&amp;D7&amp;D8&amp;D9&amp;D10&amp;D11&amp;D12&amp;D13&amp;D14&amp;D15&amp;D16&amp;D17&amp;D18&amp;D19&amp;D20&amp;D21&amp;D22&amp;D23&amp;D24&amp;D25&amp;D26&amp;D27&amp;D28&amp;D29&amp;D30&amp;D31&amp;D32&amp;D33&amp;D34&amp;D35&amp;D36&amp;D37&amp;D38&amp;D39&amp;D40&amp;D41&amp;D42&amp;D43&amp;D44&amp;D45&amp;D46&amp;D47&amp;D48&amp;D49&amp;D50&amp;D51&amp;D52&amp;D53&amp;D54&amp;D55&amp;D56&amp;D57&amp;D58&amp;D59&amp;D60&amp;D61&amp;D62&amp;D63&amp;D64&amp;D65&amp;D66&amp;D67&amp;D68&amp;D69&amp;D70&amp;D71&amp;D72&amp;D73&amp;D74&amp;D75&amp;D76&amp;D77&amp;D78&amp;D79&amp;D80&amp;D81&amp;D82&amp;D83&amp;D84&amp;D85&amp;D86&amp;D87&amp;D88&amp;D89&amp;D90&amp;D91&amp;D92&amp;D93&amp;D94&amp;D95&amp;D96&amp;D97&amp;D98&amp;D99&amp;D100&amp;D101&amp;D102&amp;D103&amp;D104&amp;D105&amp;D106&amp;D107&amp;D108&amp;D109&amp;D110&amp;D111&amp;D112&amp;D113&amp;D114&amp;D115&amp;D116&amp;D117&amp;D118&amp;D119&amp;D120&amp;D121&amp;D122&amp;D123&amp;D124&amp;D125&amp;D126&amp;D127&amp;D128&amp;D129&amp;D130&amp;D131</f>
        <v/>
      </c>
    </row>
    <row r="2" spans="2:7">
      <c r="B2" t="s">
        <v>716</v>
      </c>
      <c r="C2" s="4">
        <f>冒険者職業レベル!E27+冒険者職業レベル!F27-冒険者職業レベル!G27</f>
        <v>0</v>
      </c>
      <c r="D2" t="str">
        <f>IF(C2&gt;0,CHAR(10)&amp;B2,"")</f>
        <v/>
      </c>
    </row>
    <row r="3" spans="2:7">
      <c r="B3" t="s">
        <v>717</v>
      </c>
      <c r="C3" s="4">
        <f>冒険者職業レベル!E27+冒険者職業レベル!F27-冒険者職業レベル!G27</f>
        <v>0</v>
      </c>
      <c r="D3" t="str">
        <f>IF(C3&lt;0,CHAR(10)&amp;B3,"")</f>
        <v/>
      </c>
    </row>
    <row r="4" spans="2:7">
      <c r="B4" t="s">
        <v>718</v>
      </c>
      <c r="C4" s="4">
        <f>冒険者職業レベル!E28+冒険者職業レベル!F28-冒険者職業レベル!G28</f>
        <v>0</v>
      </c>
      <c r="D4" t="str">
        <f>IF(C4&gt;0,CHAR(10)&amp;B4,"")</f>
        <v/>
      </c>
    </row>
    <row r="5" spans="2:7">
      <c r="B5" t="s">
        <v>719</v>
      </c>
      <c r="C5" s="4">
        <f>冒険者職業レベル!E28+冒険者職業レベル!F28-冒険者職業レベル!G28</f>
        <v>0</v>
      </c>
      <c r="D5" t="str">
        <f>IF(C5&lt;0,CHAR(10)&amp;B5,"")</f>
        <v/>
      </c>
    </row>
    <row r="6" spans="2:7">
      <c r="B6" t="s">
        <v>720</v>
      </c>
      <c r="C6" s="4">
        <f>冒険者職業レベル!E29+冒険者職業レベル!F29-冒険者職業レベル!G29</f>
        <v>0</v>
      </c>
      <c r="D6" t="str">
        <f>IF(C6&gt;0,CHAR(10)&amp;B6,"")</f>
        <v/>
      </c>
    </row>
    <row r="7" spans="2:7">
      <c r="B7" t="s">
        <v>721</v>
      </c>
      <c r="C7" s="4">
        <f>冒険者職業レベル!E29+冒険者職業レベル!F29-冒険者職業レベル!G29</f>
        <v>0</v>
      </c>
      <c r="D7" t="str">
        <f>IF(C7&lt;0,CHAR(10)&amp;B7,"")</f>
        <v/>
      </c>
    </row>
    <row r="8" spans="2:7">
      <c r="B8" t="s">
        <v>722</v>
      </c>
      <c r="C8" s="4">
        <f>冒険者職業レベル!E30+冒険者職業レベル!F30-冒険者職業レベル!G30</f>
        <v>0</v>
      </c>
      <c r="D8" t="str">
        <f>IF(C8&gt;0,CHAR(10)&amp;B8,"")</f>
        <v/>
      </c>
    </row>
    <row r="9" spans="2:7">
      <c r="B9" t="s">
        <v>723</v>
      </c>
      <c r="C9" s="4">
        <f>冒険者職業レベル!E30+冒険者職業レベル!F30-冒険者職業レベル!G30</f>
        <v>0</v>
      </c>
      <c r="D9" t="str">
        <f>IF(C9&lt;0,CHAR(10)&amp;B9,"")</f>
        <v/>
      </c>
    </row>
    <row r="10" spans="2:7">
      <c r="B10" t="str">
        <f>F10&amp;G10&amp;E10</f>
        <v>戦士のレベルが出自・来歴ボーナスがあるのに、現在値に反映されていません</v>
      </c>
      <c r="C10">
        <f>冒険者職業レベル!D3-冒険者職業レベル!E3</f>
        <v>-2</v>
      </c>
      <c r="D10" t="str">
        <f>IF(C10&gt;0,CHAR(10)&amp;B10,"")</f>
        <v/>
      </c>
      <c r="E10" t="s">
        <v>724</v>
      </c>
      <c r="F10" t="s">
        <v>108</v>
      </c>
      <c r="G10" t="s">
        <v>725</v>
      </c>
    </row>
    <row r="11" spans="2:7">
      <c r="B11" t="str">
        <f t="shared" ref="B11:B74" si="0">F11&amp;G11&amp;E11</f>
        <v>武道家のレベルが出自・来歴ボーナスがあるのに、現在値に反映されていません</v>
      </c>
      <c r="C11">
        <f>冒険者職業レベル!D4-冒険者職業レベル!E4</f>
        <v>0</v>
      </c>
      <c r="D11" t="str">
        <f t="shared" ref="D11:D16" si="1">IF(C11&gt;0,CHAR(10)&amp;B11,"")</f>
        <v/>
      </c>
      <c r="E11" t="s">
        <v>724</v>
      </c>
      <c r="F11" t="s">
        <v>524</v>
      </c>
      <c r="G11" t="s">
        <v>725</v>
      </c>
    </row>
    <row r="12" spans="2:7">
      <c r="B12" t="str">
        <f t="shared" si="0"/>
        <v>野伏のレベルが出自・来歴ボーナスがあるのに、現在値に反映されていません</v>
      </c>
      <c r="C12">
        <f>冒険者職業レベル!D5-冒険者職業レベル!E5</f>
        <v>0</v>
      </c>
      <c r="D12" t="str">
        <f t="shared" si="1"/>
        <v/>
      </c>
      <c r="E12" t="s">
        <v>724</v>
      </c>
      <c r="F12" t="s">
        <v>526</v>
      </c>
      <c r="G12" t="s">
        <v>725</v>
      </c>
    </row>
    <row r="13" spans="2:7">
      <c r="B13" t="str">
        <f t="shared" si="0"/>
        <v>斥候のレベルが出自・来歴ボーナスがあるのに、現在値に反映されていません</v>
      </c>
      <c r="C13">
        <f>冒険者職業レベル!D6-冒険者職業レベル!E6</f>
        <v>0</v>
      </c>
      <c r="D13" t="str">
        <f t="shared" si="1"/>
        <v/>
      </c>
      <c r="E13" t="s">
        <v>724</v>
      </c>
      <c r="F13" t="s">
        <v>528</v>
      </c>
      <c r="G13" t="s">
        <v>725</v>
      </c>
    </row>
    <row r="14" spans="2:7">
      <c r="B14" t="str">
        <f t="shared" si="0"/>
        <v>魔術師のレベルが出自・来歴ボーナスがあるのに、現在値に反映されていません</v>
      </c>
      <c r="C14">
        <f>冒険者職業レベル!D7-冒険者職業レベル!E7</f>
        <v>0</v>
      </c>
      <c r="D14" t="str">
        <f t="shared" si="1"/>
        <v/>
      </c>
      <c r="E14" t="s">
        <v>724</v>
      </c>
      <c r="F14" t="s">
        <v>530</v>
      </c>
      <c r="G14" t="s">
        <v>725</v>
      </c>
    </row>
    <row r="15" spans="2:7">
      <c r="B15" t="str">
        <f t="shared" si="0"/>
        <v>神官のレベルが出自・来歴ボーナスがあるのに、現在値に反映されていません</v>
      </c>
      <c r="C15">
        <f>冒険者職業レベル!D8-冒険者職業レベル!E8</f>
        <v>0</v>
      </c>
      <c r="D15" t="str">
        <f t="shared" si="1"/>
        <v/>
      </c>
      <c r="E15" t="s">
        <v>724</v>
      </c>
      <c r="F15" t="s">
        <v>532</v>
      </c>
      <c r="G15" t="s">
        <v>725</v>
      </c>
    </row>
    <row r="16" spans="2:7">
      <c r="B16" t="str">
        <f t="shared" si="0"/>
        <v>竜司祭のレベルが出自・来歴ボーナスがあるのに、現在値に反映されていません</v>
      </c>
      <c r="C16">
        <f>冒険者職業レベル!D9-冒険者職業レベル!E9</f>
        <v>0</v>
      </c>
      <c r="D16" t="str">
        <f t="shared" si="1"/>
        <v/>
      </c>
      <c r="E16" t="s">
        <v>724</v>
      </c>
      <c r="F16" t="s">
        <v>534</v>
      </c>
      <c r="G16" t="s">
        <v>725</v>
      </c>
    </row>
    <row r="17" spans="2:7">
      <c r="B17" t="str">
        <f t="shared" si="0"/>
        <v>精霊使いのレベルが出自・来歴ボーナスがあるのに、現在値に反映されていません</v>
      </c>
      <c r="C17">
        <f>冒険者職業レベル!D10-冒険者職業レベル!E10</f>
        <v>0</v>
      </c>
      <c r="D17" t="str">
        <f>IF(C17&gt;0,CHAR(10)&amp;B17,"")</f>
        <v/>
      </c>
      <c r="E17" t="s">
        <v>724</v>
      </c>
      <c r="F17" t="s">
        <v>536</v>
      </c>
      <c r="G17" t="s">
        <v>725</v>
      </c>
    </row>
    <row r="18" spans="2:7">
      <c r="B18" t="s">
        <v>726</v>
      </c>
      <c r="C18">
        <f>SUM(能力値!F4:F7)</f>
        <v>1</v>
      </c>
      <c r="D18" t="str">
        <f>IF(C18=0,CHAR(10)&amp;B18,"")</f>
        <v/>
      </c>
    </row>
    <row r="19" spans="2:7">
      <c r="B19" t="str">
        <f t="shared" si="0"/>
        <v>受身の習熟段階が出自・来歴ボーナスがあるのに、現在値に反映されていません</v>
      </c>
      <c r="D19" t="str">
        <f>IF(冒険者技能!H3=ラベル!$G$3,IF(冒険者技能!I3=ラベル!$G$2,CHAR(10)&amp;B19,""),"")</f>
        <v/>
      </c>
      <c r="E19" t="s">
        <v>724</v>
      </c>
      <c r="F19" t="s">
        <v>570</v>
      </c>
      <c r="G19" t="s">
        <v>727</v>
      </c>
    </row>
    <row r="20" spans="2:7">
      <c r="B20" t="str">
        <f t="shared" si="0"/>
        <v>応急手当の習熟段階が出自・来歴ボーナスがあるのに、現在値に反映されていません</v>
      </c>
      <c r="D20" t="str">
        <f>IF(冒険者技能!H4=ラベル!$G$3,IF(冒険者技能!I4=ラベル!$G$2,CHAR(10)&amp;B20,""),"")</f>
        <v/>
      </c>
      <c r="E20" t="s">
        <v>724</v>
      </c>
      <c r="F20" t="s">
        <v>166</v>
      </c>
      <c r="G20" t="s">
        <v>727</v>
      </c>
    </row>
    <row r="21" spans="2:7">
      <c r="B21" t="str">
        <f t="shared" si="0"/>
        <v>隠密の習熟段階が出自・来歴ボーナスがあるのに、現在値に反映されていません</v>
      </c>
      <c r="D21" t="str">
        <f>IF(冒険者技能!H5=ラベル!$G$3,IF(冒険者技能!I5=ラベル!$G$2,CHAR(10)&amp;B21,""),"")</f>
        <v/>
      </c>
      <c r="E21" t="s">
        <v>724</v>
      </c>
      <c r="F21" t="s">
        <v>146</v>
      </c>
      <c r="G21" t="s">
        <v>727</v>
      </c>
    </row>
    <row r="22" spans="2:7">
      <c r="B22" t="str">
        <f t="shared" si="0"/>
        <v>頑健の習熟段階が出自・来歴ボーナスがあるのに、現在値に反映されていません</v>
      </c>
      <c r="D22" t="str">
        <f>IF(冒険者技能!H6=ラベル!$G$3,IF(冒険者技能!I6=ラベル!$G$2,CHAR(10)&amp;B22,""),"")</f>
        <v/>
      </c>
      <c r="E22" t="s">
        <v>724</v>
      </c>
      <c r="F22" t="s">
        <v>575</v>
      </c>
      <c r="G22" t="s">
        <v>727</v>
      </c>
    </row>
    <row r="23" spans="2:7">
      <c r="B23" t="str">
        <f t="shared" si="0"/>
        <v>観察の習熟段階が出自・来歴ボーナスがあるのに、現在値に反映されていません</v>
      </c>
      <c r="D23" t="str">
        <f>IF(冒険者技能!H7=ラベル!$G$3,IF(冒険者技能!I7=ラベル!$G$2,CHAR(10)&amp;B23,""),"")</f>
        <v/>
      </c>
      <c r="E23" t="s">
        <v>724</v>
      </c>
      <c r="F23" t="s">
        <v>478</v>
      </c>
      <c r="G23" t="s">
        <v>727</v>
      </c>
    </row>
    <row r="24" spans="2:7">
      <c r="B24" t="str">
        <f t="shared" si="0"/>
        <v>機先の習熟段階が出自・来歴ボーナスがあるのに、現在値に反映されていません</v>
      </c>
      <c r="D24" t="str">
        <f>IF(冒険者技能!H8=ラベル!$G$3,IF(冒険者技能!I8=ラベル!$G$2,CHAR(10)&amp;B24,""),"")</f>
        <v/>
      </c>
      <c r="E24" t="s">
        <v>724</v>
      </c>
      <c r="F24" t="s">
        <v>257</v>
      </c>
      <c r="G24" t="s">
        <v>727</v>
      </c>
    </row>
    <row r="25" spans="2:7">
      <c r="B25" t="str">
        <f t="shared" si="0"/>
        <v>幸運の習熟段階が出自・来歴ボーナスがあるのに、現在値に反映されていません</v>
      </c>
      <c r="D25" t="str">
        <f>IF(冒険者技能!H9=ラベル!$G$3,IF(冒険者技能!I9=ラベル!$G$2,CHAR(10)&amp;B25,""),"")</f>
        <v/>
      </c>
      <c r="E25" t="s">
        <v>724</v>
      </c>
      <c r="F25" t="s">
        <v>577</v>
      </c>
      <c r="G25" t="s">
        <v>727</v>
      </c>
    </row>
    <row r="26" spans="2:7">
      <c r="B26" t="str">
        <f t="shared" si="0"/>
        <v>呪文抵抗の習熟段階が出自・来歴ボーナスがあるのに、現在値に反映されていません</v>
      </c>
      <c r="D26" t="str">
        <f>IF(冒険者技能!H10=ラベル!$G$3,IF(冒険者技能!I10=ラベル!$G$2,CHAR(10)&amp;B26,""),"")</f>
        <v/>
      </c>
      <c r="E26" t="s">
        <v>724</v>
      </c>
      <c r="F26" t="s">
        <v>160</v>
      </c>
      <c r="G26" t="s">
        <v>727</v>
      </c>
    </row>
    <row r="27" spans="2:7">
      <c r="B27" t="str">
        <f t="shared" si="0"/>
        <v>戦術移動の習熟段階が出自・来歴ボーナスがあるのに、現在値に反映されていません</v>
      </c>
      <c r="D27" t="str">
        <f>IF(冒険者技能!H11=ラベル!$G$3,IF(冒険者技能!I11=ラベル!$G$2,CHAR(10)&amp;B27,""),"")</f>
        <v/>
      </c>
      <c r="E27" t="s">
        <v>724</v>
      </c>
      <c r="F27" t="s">
        <v>579</v>
      </c>
      <c r="G27" t="s">
        <v>727</v>
      </c>
    </row>
    <row r="28" spans="2:7">
      <c r="B28" t="str">
        <f t="shared" si="0"/>
        <v>第六感の習熟段階が出自・来歴ボーナスがあるのに、現在値に反映されていません</v>
      </c>
      <c r="D28" t="str">
        <f>IF(冒険者技能!H12=ラベル!$G$3,IF(冒険者技能!I12=ラベル!$G$2,CHAR(10)&amp;B28,""),"")</f>
        <v/>
      </c>
      <c r="E28" t="s">
        <v>724</v>
      </c>
      <c r="F28" t="s">
        <v>162</v>
      </c>
      <c r="G28" t="s">
        <v>727</v>
      </c>
    </row>
    <row r="29" spans="2:7">
      <c r="B29" t="str">
        <f t="shared" si="0"/>
        <v>治癒適正の習熟段階が出自・来歴ボーナスがあるのに、現在値に反映されていません</v>
      </c>
      <c r="D29" t="str">
        <f>IF(冒険者技能!H13=ラベル!$G$3,IF(冒険者技能!I13=ラベル!$G$2,CHAR(10)&amp;B29,""),"")</f>
        <v/>
      </c>
      <c r="E29" t="s">
        <v>724</v>
      </c>
      <c r="F29" t="s">
        <v>582</v>
      </c>
      <c r="G29" t="s">
        <v>727</v>
      </c>
    </row>
    <row r="30" spans="2:7">
      <c r="B30" t="str">
        <f t="shared" si="0"/>
        <v>手仕事の習熟段階が出自・来歴ボーナスがあるのに、現在値に反映されていません</v>
      </c>
      <c r="D30" t="str">
        <f>IF(冒険者技能!H14=ラベル!$G$3,IF(冒険者技能!I14=ラベル!$G$2,CHAR(10)&amp;B30,""),"")</f>
        <v/>
      </c>
      <c r="E30" t="s">
        <v>724</v>
      </c>
      <c r="F30" t="s">
        <v>475</v>
      </c>
      <c r="G30" t="s">
        <v>727</v>
      </c>
    </row>
    <row r="31" spans="2:7">
      <c r="B31" t="str">
        <f t="shared" si="0"/>
        <v>忍耐の習熟段階が出自・来歴ボーナスがあるのに、現在値に反映されていません</v>
      </c>
      <c r="D31" t="str">
        <f>IF(冒険者技能!H15=ラベル!$G$3,IF(冒険者技能!I15=ラベル!$G$2,CHAR(10)&amp;B31,""),"")</f>
        <v/>
      </c>
      <c r="E31" t="s">
        <v>724</v>
      </c>
      <c r="F31" t="s">
        <v>583</v>
      </c>
      <c r="G31" t="s">
        <v>727</v>
      </c>
    </row>
    <row r="32" spans="2:7">
      <c r="B32" t="str">
        <f t="shared" si="0"/>
        <v>免疫強化の習熟段階が出自・来歴ボーナスがあるのに、現在値に反映されていません</v>
      </c>
      <c r="D32" t="str">
        <f>IF(冒険者技能!H16=ラベル!$G$3,IF(冒険者技能!I16=ラベル!$G$2,CHAR(10)&amp;B32,""),"")</f>
        <v/>
      </c>
      <c r="E32" t="s">
        <v>724</v>
      </c>
      <c r="F32" t="s">
        <v>467</v>
      </c>
      <c r="G32" t="s">
        <v>727</v>
      </c>
    </row>
    <row r="33" spans="2:7">
      <c r="B33" t="str">
        <f t="shared" si="0"/>
        <v>受け流しの習熟段階が出自・来歴ボーナスがあるのに、現在値に反映されていません</v>
      </c>
      <c r="D33" t="str">
        <f>IF(冒険者技能!H17=ラベル!$G$3,IF(冒険者技能!I17=ラベル!$G$2,CHAR(10)&amp;B33,""),"")</f>
        <v/>
      </c>
      <c r="E33" t="s">
        <v>724</v>
      </c>
      <c r="F33" t="s">
        <v>390</v>
      </c>
      <c r="G33" t="s">
        <v>727</v>
      </c>
    </row>
    <row r="34" spans="2:7">
      <c r="B34" t="str">
        <f t="shared" si="0"/>
        <v>荷重行動の習熟段階が出自・来歴ボーナスがあるのに、現在値に反映されていません</v>
      </c>
      <c r="D34" t="str">
        <f>IF(冒険者技能!H18=ラベル!$G$3,IF(冒険者技能!I18=ラベル!$G$2,CHAR(10)&amp;B34,""),"")</f>
        <v/>
      </c>
      <c r="E34" t="s">
        <v>724</v>
      </c>
      <c r="F34" t="s">
        <v>470</v>
      </c>
      <c r="G34" t="s">
        <v>727</v>
      </c>
    </row>
    <row r="35" spans="2:7">
      <c r="B35" t="str">
        <f t="shared" si="0"/>
        <v>強打攻撃・斬の習熟段階が出自・来歴ボーナスがあるのに、現在値に反映されていません</v>
      </c>
      <c r="D35" t="str">
        <f>IF(冒険者技能!H19=ラベル!$G$3,IF(冒険者技能!I19=ラベル!$G$2,CHAR(10)&amp;B35,""),"")</f>
        <v/>
      </c>
      <c r="E35" t="s">
        <v>724</v>
      </c>
      <c r="F35" t="s">
        <v>587</v>
      </c>
      <c r="G35" t="s">
        <v>727</v>
      </c>
    </row>
    <row r="36" spans="2:7">
      <c r="B36" t="str">
        <f t="shared" si="0"/>
        <v>強打攻撃・殴の習熟段階が出自・来歴ボーナスがあるのに、現在値に反映されていません</v>
      </c>
      <c r="D36" t="str">
        <f>IF(冒険者技能!H20=ラベル!$G$3,IF(冒険者技能!I20=ラベル!$G$2,CHAR(10)&amp;B36,""),"")</f>
        <v/>
      </c>
      <c r="E36" t="s">
        <v>724</v>
      </c>
      <c r="F36" t="s">
        <v>589</v>
      </c>
      <c r="G36" t="s">
        <v>727</v>
      </c>
    </row>
    <row r="37" spans="2:7">
      <c r="B37" t="str">
        <f t="shared" si="0"/>
        <v>曲射の習熟段階が出自・来歴ボーナスがあるのに、現在値に反映されていません</v>
      </c>
      <c r="D37" t="str">
        <f>IF(冒険者技能!H21=ラベル!$G$3,IF(冒険者技能!I21=ラベル!$G$2,CHAR(10)&amp;B37,""),"")</f>
        <v/>
      </c>
      <c r="E37" t="s">
        <v>724</v>
      </c>
      <c r="F37" t="s">
        <v>591</v>
      </c>
      <c r="G37" t="s">
        <v>727</v>
      </c>
    </row>
    <row r="38" spans="2:7">
      <c r="B38" t="str">
        <f t="shared" si="0"/>
        <v>斬落攻撃の習熟段階が出自・来歴ボーナスがあるのに、現在値に反映されていません</v>
      </c>
      <c r="D38" t="str">
        <f>IF(冒険者技能!H22=ラベル!$G$3,IF(冒険者技能!I22=ラベル!$G$2,CHAR(10)&amp;B38,""),"")</f>
        <v/>
      </c>
      <c r="E38" t="s">
        <v>724</v>
      </c>
      <c r="F38" t="s">
        <v>593</v>
      </c>
      <c r="G38" t="s">
        <v>727</v>
      </c>
    </row>
    <row r="39" spans="2:7">
      <c r="B39" t="str">
        <f t="shared" si="0"/>
        <v>拘束攻撃の習熟段階が出自・来歴ボーナスがあるのに、現在値に反映されていません</v>
      </c>
      <c r="D39" t="str">
        <f>IF(冒険者技能!H23=ラベル!$G$3,IF(冒険者技能!I23=ラベル!$G$2,CHAR(10)&amp;B39,""),"")</f>
        <v/>
      </c>
      <c r="E39" t="s">
        <v>724</v>
      </c>
      <c r="F39" t="s">
        <v>595</v>
      </c>
      <c r="G39" t="s">
        <v>727</v>
      </c>
    </row>
    <row r="40" spans="2:7">
      <c r="B40" t="str">
        <f t="shared" si="0"/>
        <v>護衛の習熟段階が出自・来歴ボーナスがあるのに、現在値に反映されていません</v>
      </c>
      <c r="D40" t="str">
        <f>IF(冒険者技能!H24=ラベル!$G$3,IF(冒険者技能!I24=ラベル!$G$2,CHAR(10)&amp;B40,""),"")</f>
        <v/>
      </c>
      <c r="E40" t="s">
        <v>724</v>
      </c>
      <c r="F40" t="s">
        <v>596</v>
      </c>
      <c r="G40" t="s">
        <v>727</v>
      </c>
    </row>
    <row r="41" spans="2:7">
      <c r="B41" t="str">
        <f t="shared" si="0"/>
        <v>死角移動の習熟段階が出自・来歴ボーナスがあるのに、現在値に反映されていません</v>
      </c>
      <c r="D41" t="str">
        <f>IF(冒険者技能!H25=ラベル!$G$3,IF(冒険者技能!I25=ラベル!$G$2,CHAR(10)&amp;B41,""),"")</f>
        <v/>
      </c>
      <c r="E41" t="s">
        <v>724</v>
      </c>
      <c r="F41" t="s">
        <v>598</v>
      </c>
      <c r="G41" t="s">
        <v>727</v>
      </c>
    </row>
    <row r="42" spans="2:7">
      <c r="B42" t="str">
        <f t="shared" si="0"/>
        <v>刺突攻撃の習熟段階が出自・来歴ボーナスがあるのに、現在値に反映されていません</v>
      </c>
      <c r="D42" t="str">
        <f>IF(冒険者技能!H26=ラベル!$G$3,IF(冒険者技能!I26=ラベル!$G$2,CHAR(10)&amp;B42,""),"")</f>
        <v/>
      </c>
      <c r="E42" t="s">
        <v>724</v>
      </c>
      <c r="F42" t="s">
        <v>600</v>
      </c>
      <c r="G42" t="s">
        <v>727</v>
      </c>
    </row>
    <row r="43" spans="2:7">
      <c r="B43" t="str">
        <f t="shared" si="0"/>
        <v>狙撃の習熟段階が出自・来歴ボーナスがあるのに、現在値に反映されていません</v>
      </c>
      <c r="D43" t="str">
        <f>IF(冒険者技能!H27=ラベル!$G$3,IF(冒険者技能!I27=ラベル!$G$2,CHAR(10)&amp;B43,""),"")</f>
        <v/>
      </c>
      <c r="E43" t="s">
        <v>724</v>
      </c>
      <c r="F43" t="s">
        <v>601</v>
      </c>
      <c r="G43" t="s">
        <v>727</v>
      </c>
    </row>
    <row r="44" spans="2:7">
      <c r="B44" t="str">
        <f t="shared" si="0"/>
        <v>速射の習熟段階が出自・来歴ボーナスがあるのに、現在値に反映されていません</v>
      </c>
      <c r="D44" t="str">
        <f>IF(冒険者技能!H28=ラベル!$G$3,IF(冒険者技能!I28=ラベル!$G$2,CHAR(10)&amp;B44,""),"")</f>
        <v/>
      </c>
      <c r="E44" t="s">
        <v>724</v>
      </c>
      <c r="F44" t="s">
        <v>603</v>
      </c>
      <c r="G44" t="s">
        <v>727</v>
      </c>
    </row>
    <row r="45" spans="2:7">
      <c r="B45" t="str">
        <f t="shared" si="0"/>
        <v>体術の習熟段階が出自・来歴ボーナスがあるのに、現在値に反映されていません</v>
      </c>
      <c r="D45" t="str">
        <f>IF(冒険者技能!H29=ラベル!$G$3,IF(冒険者技能!I29=ラベル!$G$2,CHAR(10)&amp;B45,""),"")</f>
        <v/>
      </c>
      <c r="E45" t="s">
        <v>724</v>
      </c>
      <c r="F45" t="s">
        <v>471</v>
      </c>
      <c r="G45" t="s">
        <v>727</v>
      </c>
    </row>
    <row r="46" spans="2:7">
      <c r="B46" t="str">
        <f t="shared" si="0"/>
        <v>盾の習熟段階が出自・来歴ボーナスがあるのに、現在値に反映されていません</v>
      </c>
      <c r="D46" t="str">
        <f>IF(冒険者技能!H30=ラベル!$G$3,IF(冒険者技能!I30=ラベル!$G$2,CHAR(10)&amp;B46,""),"")</f>
        <v/>
      </c>
      <c r="E46" t="s">
        <v>724</v>
      </c>
      <c r="F46" t="s">
        <v>124</v>
      </c>
      <c r="G46" t="s">
        <v>727</v>
      </c>
    </row>
    <row r="47" spans="2:7">
      <c r="B47" t="str">
        <f t="shared" si="0"/>
        <v>挑発の習熟段階が出自・来歴ボーナスがあるのに、現在値に反映されていません</v>
      </c>
      <c r="D47" t="str">
        <f>IF(冒険者技能!H31=ラベル!$G$3,IF(冒険者技能!I31=ラベル!$G$2,CHAR(10)&amp;B47,""),"")</f>
        <v/>
      </c>
      <c r="E47" t="s">
        <v>724</v>
      </c>
      <c r="F47" t="s">
        <v>482</v>
      </c>
      <c r="G47" t="s">
        <v>727</v>
      </c>
    </row>
    <row r="48" spans="2:7">
      <c r="B48" t="str">
        <f t="shared" si="0"/>
        <v>鉄の拳の習熟段階が出自・来歴ボーナスがあるのに、現在値に反映されていません</v>
      </c>
      <c r="D48" t="str">
        <f>IF(冒険者技能!H32=ラベル!$G$3,IF(冒険者技能!I32=ラベル!$G$2,CHAR(10)&amp;B48,""),"")</f>
        <v/>
      </c>
      <c r="E48" t="s">
        <v>724</v>
      </c>
      <c r="F48" t="s">
        <v>605</v>
      </c>
      <c r="G48" t="s">
        <v>727</v>
      </c>
    </row>
    <row r="49" spans="2:7">
      <c r="B49" t="str">
        <f t="shared" si="0"/>
        <v>鉄壁の習熟段階が出自・来歴ボーナスがあるのに、現在値に反映されていません</v>
      </c>
      <c r="D49" t="str">
        <f>IF(冒険者技能!H33=ラベル!$G$3,IF(冒険者技能!I33=ラベル!$G$2,CHAR(10)&amp;B49,""),"")</f>
        <v/>
      </c>
      <c r="E49" t="s">
        <v>724</v>
      </c>
      <c r="F49" t="s">
        <v>484</v>
      </c>
      <c r="G49" t="s">
        <v>727</v>
      </c>
    </row>
    <row r="50" spans="2:7">
      <c r="B50" t="str">
        <f t="shared" si="0"/>
        <v>薙ぎ払いの習熟段階が出自・来歴ボーナスがあるのに、現在値に反映されていません</v>
      </c>
      <c r="D50" t="str">
        <f>IF(冒険者技能!H34=ラベル!$G$3,IF(冒険者技能!I34=ラベル!$G$2,CHAR(10)&amp;B50,""),"")</f>
        <v/>
      </c>
      <c r="E50" t="s">
        <v>724</v>
      </c>
      <c r="F50" t="s">
        <v>608</v>
      </c>
      <c r="G50" t="s">
        <v>727</v>
      </c>
    </row>
    <row r="51" spans="2:7">
      <c r="B51" t="str">
        <f t="shared" si="0"/>
        <v>二刀流の習熟段階が出自・来歴ボーナスがあるのに、現在値に反映されていません</v>
      </c>
      <c r="D51" t="str">
        <f>IF(冒険者技能!H35=ラベル!$G$3,IF(冒険者技能!I35=ラベル!$G$2,CHAR(10)&amp;B51,""),"")</f>
        <v/>
      </c>
      <c r="E51" t="s">
        <v>724</v>
      </c>
      <c r="F51" t="s">
        <v>610</v>
      </c>
      <c r="G51" t="s">
        <v>727</v>
      </c>
    </row>
    <row r="52" spans="2:7">
      <c r="B52" t="str">
        <f t="shared" si="0"/>
        <v>発勁の習熟段階が出自・来歴ボーナスがあるのに、現在値に反映されていません</v>
      </c>
      <c r="D52" t="str">
        <f>IF(冒険者技能!H36=ラベル!$G$3,IF(冒険者技能!I36=ラベル!$G$2,CHAR(10)&amp;B52,""),"")</f>
        <v/>
      </c>
      <c r="E52" t="s">
        <v>724</v>
      </c>
      <c r="F52" t="s">
        <v>612</v>
      </c>
      <c r="G52" t="s">
        <v>727</v>
      </c>
    </row>
    <row r="53" spans="2:7">
      <c r="B53" t="str">
        <f t="shared" si="0"/>
        <v>武器：片手剣の習熟段階が出自・来歴ボーナスがあるのに、現在値に反映されていません</v>
      </c>
      <c r="D53" t="str">
        <f>IF(冒険者技能!H37=ラベル!$G$3,IF(冒険者技能!I37=ラベル!$G$2,CHAR(10)&amp;B53,""),"")</f>
        <v/>
      </c>
      <c r="E53" t="s">
        <v>724</v>
      </c>
      <c r="F53" t="s">
        <v>614</v>
      </c>
      <c r="G53" t="s">
        <v>727</v>
      </c>
    </row>
    <row r="54" spans="2:7">
      <c r="B54" t="str">
        <f t="shared" si="0"/>
        <v>武器：両手剣の習熟段階が出自・来歴ボーナスがあるのに、現在値に反映されていません</v>
      </c>
      <c r="D54" t="str">
        <f>IF(冒険者技能!H38=ラベル!$G$3,IF(冒険者技能!I38=ラベル!$G$2,CHAR(10)&amp;B54,""),"")</f>
        <v/>
      </c>
      <c r="E54" t="s">
        <v>724</v>
      </c>
      <c r="F54" t="s">
        <v>616</v>
      </c>
      <c r="G54" t="s">
        <v>727</v>
      </c>
    </row>
    <row r="55" spans="2:7">
      <c r="B55" t="str">
        <f t="shared" si="0"/>
        <v>武器：斧の習熟段階が出自・来歴ボーナスがあるのに、現在値に反映されていません</v>
      </c>
      <c r="D55" t="str">
        <f>IF(冒険者技能!H39=ラベル!$G$3,IF(冒険者技能!I39=ラベル!$G$2,CHAR(10)&amp;B55,""),"")</f>
        <v/>
      </c>
      <c r="E55" t="s">
        <v>724</v>
      </c>
      <c r="F55" t="s">
        <v>617</v>
      </c>
      <c r="G55" t="s">
        <v>727</v>
      </c>
    </row>
    <row r="56" spans="2:7">
      <c r="B56" t="str">
        <f t="shared" si="0"/>
        <v>武器：槍の習熟段階が出自・来歴ボーナスがあるのに、現在値に反映されていません</v>
      </c>
      <c r="D56" t="str">
        <f>IF(冒険者技能!H40=ラベル!$G$3,IF(冒険者技能!I40=ラベル!$G$2,CHAR(10)&amp;B56,""),"")</f>
        <v/>
      </c>
      <c r="E56" t="s">
        <v>724</v>
      </c>
      <c r="F56" t="s">
        <v>618</v>
      </c>
      <c r="G56" t="s">
        <v>727</v>
      </c>
    </row>
    <row r="57" spans="2:7">
      <c r="B57" t="str">
        <f t="shared" si="0"/>
        <v>武器：戦槌の習熟段階が出自・来歴ボーナスがあるのに、現在値に反映されていません</v>
      </c>
      <c r="D57" t="str">
        <f>IF(冒険者技能!H41=ラベル!$G$3,IF(冒険者技能!I41=ラベル!$G$2,CHAR(10)&amp;B57,""),"")</f>
        <v/>
      </c>
      <c r="E57" t="s">
        <v>724</v>
      </c>
      <c r="F57" t="s">
        <v>619</v>
      </c>
      <c r="G57" t="s">
        <v>727</v>
      </c>
    </row>
    <row r="58" spans="2:7">
      <c r="B58" t="str">
        <f t="shared" si="0"/>
        <v>武器：棍杖の習熟段階が出自・来歴ボーナスがあるのに、現在値に反映されていません</v>
      </c>
      <c r="D58" t="str">
        <f>IF(冒険者技能!H42=ラベル!$G$3,IF(冒険者技能!I42=ラベル!$G$2,CHAR(10)&amp;B58,""),"")</f>
        <v/>
      </c>
      <c r="E58" t="s">
        <v>724</v>
      </c>
      <c r="F58" t="s">
        <v>620</v>
      </c>
      <c r="G58" t="s">
        <v>727</v>
      </c>
    </row>
    <row r="59" spans="2:7">
      <c r="B59" t="str">
        <f t="shared" si="0"/>
        <v>武器：格闘武器の習熟段階が出自・来歴ボーナスがあるのに、現在値に反映されていません</v>
      </c>
      <c r="D59" t="str">
        <f>IF(冒険者技能!H43=ラベル!$G$3,IF(冒険者技能!I43=ラベル!$G$2,CHAR(10)&amp;B59,""),"")</f>
        <v/>
      </c>
      <c r="E59" t="s">
        <v>724</v>
      </c>
      <c r="F59" t="s">
        <v>621</v>
      </c>
      <c r="G59" t="s">
        <v>727</v>
      </c>
    </row>
    <row r="60" spans="2:7">
      <c r="B60" t="str">
        <f t="shared" si="0"/>
        <v>武器：投擲武器の習熟段階が出自・来歴ボーナスがあるのに、現在値に反映されていません</v>
      </c>
      <c r="D60" t="str">
        <f>IF(冒険者技能!H44=ラベル!$G$3,IF(冒険者技能!I44=ラベル!$G$2,CHAR(10)&amp;B60,""),"")</f>
        <v/>
      </c>
      <c r="E60" t="s">
        <v>724</v>
      </c>
      <c r="F60" t="s">
        <v>623</v>
      </c>
      <c r="G60" t="s">
        <v>727</v>
      </c>
    </row>
    <row r="61" spans="2:7">
      <c r="B61" t="str">
        <f t="shared" si="0"/>
        <v>武器：弩弓の習熟段階が出自・来歴ボーナスがあるのに、現在値に反映されていません</v>
      </c>
      <c r="D61" t="str">
        <f>IF(冒険者技能!H45=ラベル!$G$3,IF(冒険者技能!I45=ラベル!$G$2,CHAR(10)&amp;B61,""),"")</f>
        <v/>
      </c>
      <c r="E61" t="s">
        <v>724</v>
      </c>
      <c r="F61" t="s">
        <v>625</v>
      </c>
      <c r="G61" t="s">
        <v>727</v>
      </c>
    </row>
    <row r="62" spans="2:7">
      <c r="B62" t="str">
        <f t="shared" si="0"/>
        <v>見切りの習熟段階が出自・来歴ボーナスがあるのに、現在値に反映されていません</v>
      </c>
      <c r="D62" t="str">
        <f>IF(冒険者技能!H46=ラベル!$G$3,IF(冒険者技能!I46=ラベル!$G$2,CHAR(10)&amp;B62,""),"")</f>
        <v/>
      </c>
      <c r="E62" t="s">
        <v>724</v>
      </c>
      <c r="F62" t="s">
        <v>626</v>
      </c>
      <c r="G62" t="s">
        <v>727</v>
      </c>
    </row>
    <row r="63" spans="2:7">
      <c r="B63" t="str">
        <f t="shared" si="0"/>
        <v>鎧：衣鎧の習熟段階が出自・来歴ボーナスがあるのに、現在値に反映されていません</v>
      </c>
      <c r="D63" t="str">
        <f>IF(冒険者技能!H47=ラベル!$G$3,IF(冒険者技能!I47=ラベル!$G$2,CHAR(10)&amp;B63,""),"")</f>
        <v/>
      </c>
      <c r="E63" t="s">
        <v>724</v>
      </c>
      <c r="F63" t="s">
        <v>627</v>
      </c>
      <c r="G63" t="s">
        <v>727</v>
      </c>
    </row>
    <row r="64" spans="2:7">
      <c r="B64" t="str">
        <f t="shared" si="0"/>
        <v>鎧：軽鎧の習熟段階が出自・来歴ボーナスがあるのに、現在値に反映されていません</v>
      </c>
      <c r="D64" t="str">
        <f>IF(冒険者技能!H48=ラベル!$G$3,IF(冒険者技能!I48=ラベル!$G$2,CHAR(10)&amp;B64,""),"")</f>
        <v/>
      </c>
      <c r="E64" t="s">
        <v>724</v>
      </c>
      <c r="F64" t="s">
        <v>628</v>
      </c>
      <c r="G64" t="s">
        <v>727</v>
      </c>
    </row>
    <row r="65" spans="2:7">
      <c r="B65" t="str">
        <f t="shared" si="0"/>
        <v>鎧：重鎧の習熟段階が出自・来歴ボーナスがあるのに、現在値に反映されていません</v>
      </c>
      <c r="D65" t="str">
        <f>IF(冒険者技能!H49=ラベル!$G$3,IF(冒険者技能!I49=ラベル!$G$2,CHAR(10)&amp;B65,""),"")</f>
        <v/>
      </c>
      <c r="E65" t="s">
        <v>724</v>
      </c>
      <c r="F65" t="s">
        <v>629</v>
      </c>
      <c r="G65" t="s">
        <v>727</v>
      </c>
    </row>
    <row r="66" spans="2:7">
      <c r="B66" t="str">
        <f t="shared" si="0"/>
        <v>火の遣い手の習熟段階が出自・来歴ボーナスがあるのに、現在値に反映されていません</v>
      </c>
      <c r="D66" t="str">
        <f>IF(冒険者技能!H50=ラベル!$G$3,IF(冒険者技能!I50=ラベル!$G$2,CHAR(10)&amp;B66,""),"")</f>
        <v/>
      </c>
      <c r="E66" t="s">
        <v>724</v>
      </c>
      <c r="F66" t="s">
        <v>630</v>
      </c>
      <c r="G66" t="s">
        <v>727</v>
      </c>
    </row>
    <row r="67" spans="2:7">
      <c r="B67" t="str">
        <f t="shared" si="0"/>
        <v>水の遣い手の習熟段階が出自・来歴ボーナスがあるのに、現在値に反映されていません</v>
      </c>
      <c r="D67" t="str">
        <f>IF(冒険者技能!H51=ラベル!$G$3,IF(冒険者技能!I51=ラベル!$G$2,CHAR(10)&amp;B67,""),"")</f>
        <v/>
      </c>
      <c r="E67" t="s">
        <v>724</v>
      </c>
      <c r="F67" t="s">
        <v>633</v>
      </c>
      <c r="G67" t="s">
        <v>727</v>
      </c>
    </row>
    <row r="68" spans="2:7">
      <c r="B68" t="str">
        <f t="shared" si="0"/>
        <v>風の遣い手の習熟段階が出自・来歴ボーナスがあるのに、現在値に反映されていません</v>
      </c>
      <c r="D68" t="str">
        <f>IF(冒険者技能!H52=ラベル!$G$3,IF(冒険者技能!I52=ラベル!$G$2,CHAR(10)&amp;B68,""),"")</f>
        <v/>
      </c>
      <c r="E68" t="s">
        <v>724</v>
      </c>
      <c r="F68" t="s">
        <v>634</v>
      </c>
      <c r="G68" t="s">
        <v>727</v>
      </c>
    </row>
    <row r="69" spans="2:7">
      <c r="B69" t="str">
        <f t="shared" si="0"/>
        <v>土の遣い手の習熟段階が出自・来歴ボーナスがあるのに、現在値に反映されていません</v>
      </c>
      <c r="D69" t="str">
        <f>IF(冒険者技能!H53=ラベル!$G$3,IF(冒険者技能!I53=ラベル!$G$2,CHAR(10)&amp;B69,""),"")</f>
        <v/>
      </c>
      <c r="E69" t="s">
        <v>724</v>
      </c>
      <c r="F69" t="s">
        <v>635</v>
      </c>
      <c r="G69" t="s">
        <v>727</v>
      </c>
    </row>
    <row r="70" spans="2:7">
      <c r="B70" t="str">
        <f t="shared" si="0"/>
        <v>生命の遣い手の習熟段階が出自・来歴ボーナスがあるのに、現在値に反映されていません</v>
      </c>
      <c r="D70" t="str">
        <f>IF(冒険者技能!H54=ラベル!$G$3,IF(冒険者技能!I54=ラベル!$G$2,CHAR(10)&amp;B70,""),"")</f>
        <v/>
      </c>
      <c r="E70" t="s">
        <v>724</v>
      </c>
      <c r="F70" t="s">
        <v>636</v>
      </c>
      <c r="G70" t="s">
        <v>727</v>
      </c>
    </row>
    <row r="71" spans="2:7">
      <c r="B71" t="str">
        <f t="shared" si="0"/>
        <v>怪物知識の習熟段階が出自・来歴ボーナスがあるのに、現在値に反映されていません</v>
      </c>
      <c r="D71" t="str">
        <f>IF(冒険者技能!H55=ラベル!$G$3,IF(冒険者技能!I55=ラベル!$G$2,CHAR(10)&amp;B71,""),"")</f>
        <v/>
      </c>
      <c r="E71" t="s">
        <v>724</v>
      </c>
      <c r="F71" t="s">
        <v>167</v>
      </c>
      <c r="G71" t="s">
        <v>727</v>
      </c>
    </row>
    <row r="72" spans="2:7">
      <c r="B72" t="str">
        <f t="shared" si="0"/>
        <v>呪文熟達：攻撃呪文の習熟段階が出自・来歴ボーナスがあるのに、現在値に反映されていません</v>
      </c>
      <c r="D72" t="str">
        <f>IF(冒険者技能!H56=ラベル!$G$3,IF(冒険者技能!I56=ラベル!$G$2,CHAR(10)&amp;B72,""),"")</f>
        <v/>
      </c>
      <c r="E72" t="s">
        <v>724</v>
      </c>
      <c r="F72" t="s">
        <v>637</v>
      </c>
      <c r="G72" t="s">
        <v>727</v>
      </c>
    </row>
    <row r="73" spans="2:7">
      <c r="B73" t="str">
        <f t="shared" si="0"/>
        <v>呪文熟達：付与呪文の習熟段階が出自・来歴ボーナスがあるのに、現在値に反映されていません</v>
      </c>
      <c r="D73" t="str">
        <f>IF(冒険者技能!H57=ラベル!$G$3,IF(冒険者技能!I57=ラベル!$G$2,CHAR(10)&amp;B73,""),"")</f>
        <v/>
      </c>
      <c r="E73" t="s">
        <v>724</v>
      </c>
      <c r="F73" t="s">
        <v>639</v>
      </c>
      <c r="G73" t="s">
        <v>727</v>
      </c>
    </row>
    <row r="74" spans="2:7">
      <c r="B74" t="str">
        <f t="shared" si="0"/>
        <v>呪文熟達：創造呪文の習熟段階が出自・来歴ボーナスがあるのに、現在値に反映されていません</v>
      </c>
      <c r="D74" t="str">
        <f>IF(冒険者技能!H58=ラベル!$G$3,IF(冒険者技能!I58=ラベル!$G$2,CHAR(10)&amp;B74,""),"")</f>
        <v/>
      </c>
      <c r="E74" t="s">
        <v>724</v>
      </c>
      <c r="F74" t="s">
        <v>641</v>
      </c>
      <c r="G74" t="s">
        <v>727</v>
      </c>
    </row>
    <row r="75" spans="2:7">
      <c r="B75" t="str">
        <f t="shared" ref="B75:B127" si="2">F75&amp;G75&amp;E75</f>
        <v>呪文熟達：支配呪文の習熟段階が出自・来歴ボーナスがあるのに、現在値に反映されていません</v>
      </c>
      <c r="D75" t="str">
        <f>IF(冒険者技能!H59=ラベル!$G$3,IF(冒険者技能!I59=ラベル!$G$2,CHAR(10)&amp;B75,""),"")</f>
        <v/>
      </c>
      <c r="E75" t="s">
        <v>724</v>
      </c>
      <c r="F75" t="s">
        <v>643</v>
      </c>
      <c r="G75" t="s">
        <v>727</v>
      </c>
    </row>
    <row r="76" spans="2:7">
      <c r="B76" t="str">
        <f t="shared" si="2"/>
        <v>呪文熟達：治癒呪文の習熟段階が出自・来歴ボーナスがあるのに、現在値に反映されていません</v>
      </c>
      <c r="D76" t="str">
        <f>IF(冒険者技能!H60=ラベル!$G$3,IF(冒険者技能!I60=ラベル!$G$2,CHAR(10)&amp;B76,""),"")</f>
        <v/>
      </c>
      <c r="E76" t="s">
        <v>724</v>
      </c>
      <c r="F76" t="s">
        <v>645</v>
      </c>
      <c r="G76" t="s">
        <v>727</v>
      </c>
    </row>
    <row r="77" spans="2:7">
      <c r="B77" t="str">
        <f t="shared" si="2"/>
        <v>呪文熟達：汎用呪文の習熟段階が出自・来歴ボーナスがあるのに、現在値に反映されていません</v>
      </c>
      <c r="D77" t="str">
        <f>IF(冒険者技能!H61=ラベル!$G$3,IF(冒険者技能!I61=ラベル!$G$2,CHAR(10)&amp;B77,""),"")</f>
        <v/>
      </c>
      <c r="E77" t="s">
        <v>724</v>
      </c>
      <c r="F77" t="s">
        <v>647</v>
      </c>
      <c r="G77" t="s">
        <v>727</v>
      </c>
    </row>
    <row r="78" spans="2:7">
      <c r="B78" t="str">
        <f t="shared" si="2"/>
        <v>呪文増強：威力の習熟段階が出自・来歴ボーナスがあるのに、現在値に反映されていません</v>
      </c>
      <c r="D78" t="str">
        <f>IF(冒険者技能!H62=ラベル!$G$3,IF(冒険者技能!I62=ラベル!$G$2,CHAR(10)&amp;B78,""),"")</f>
        <v/>
      </c>
      <c r="E78" t="s">
        <v>724</v>
      </c>
      <c r="F78" t="s">
        <v>649</v>
      </c>
      <c r="G78" t="s">
        <v>727</v>
      </c>
    </row>
    <row r="79" spans="2:7">
      <c r="B79" t="str">
        <f t="shared" si="2"/>
        <v>呪文追加：真言呪文の習熟段階が出自・来歴ボーナスがあるのに、現在値に反映されていません</v>
      </c>
      <c r="D79" t="str">
        <f>IF(冒険者技能!H63=ラベル!$G$3,IF(冒険者技能!I63=ラベル!$G$2,CHAR(10)&amp;B79,""),"")</f>
        <v/>
      </c>
      <c r="E79" t="s">
        <v>724</v>
      </c>
      <c r="F79" t="s">
        <v>651</v>
      </c>
      <c r="G79" t="s">
        <v>727</v>
      </c>
    </row>
    <row r="80" spans="2:7">
      <c r="B80" t="str">
        <f t="shared" si="2"/>
        <v>呪文追加：奇跡の習熟段階が出自・来歴ボーナスがあるのに、現在値に反映されていません</v>
      </c>
      <c r="D80" t="str">
        <f>IF(冒険者技能!H64=ラベル!$G$3,IF(冒険者技能!I64=ラベル!$G$2,CHAR(10)&amp;B80,""),"")</f>
        <v/>
      </c>
      <c r="E80" t="s">
        <v>724</v>
      </c>
      <c r="F80" t="s">
        <v>654</v>
      </c>
      <c r="G80" t="s">
        <v>727</v>
      </c>
    </row>
    <row r="81" spans="2:7">
      <c r="B81" t="str">
        <f t="shared" si="2"/>
        <v>呪文追加：祖竜術の習熟段階が出自・来歴ボーナスがあるのに、現在値に反映されていません</v>
      </c>
      <c r="D81" t="str">
        <f>IF(冒険者技能!H65=ラベル!$G$3,IF(冒険者技能!I65=ラベル!$G$2,CHAR(10)&amp;B81,""),"")</f>
        <v/>
      </c>
      <c r="E81" t="s">
        <v>724</v>
      </c>
      <c r="F81" t="s">
        <v>656</v>
      </c>
      <c r="G81" t="s">
        <v>727</v>
      </c>
    </row>
    <row r="82" spans="2:7">
      <c r="B82" t="str">
        <f t="shared" si="2"/>
        <v>呪文追加：精霊術の習熟段階が出自・来歴ボーナスがあるのに、現在値に反映されていません</v>
      </c>
      <c r="D82" t="str">
        <f>IF(冒険者技能!H66=ラベル!$G$3,IF(冒険者技能!I66=ラベル!$G$2,CHAR(10)&amp;B82,""),"")</f>
        <v/>
      </c>
      <c r="E82" t="s">
        <v>724</v>
      </c>
      <c r="F82" t="s">
        <v>658</v>
      </c>
      <c r="G82" t="s">
        <v>727</v>
      </c>
    </row>
    <row r="83" spans="2:7">
      <c r="B83" t="str">
        <f t="shared" si="2"/>
        <v>魔法の才の習熟段階が出自・来歴ボーナスがあるのに、現在値に反映されていません</v>
      </c>
      <c r="D83" t="str">
        <f>IF(冒険者技能!H67=ラベル!$G$3,IF(冒険者技能!I67=ラベル!$G$2,CHAR(10)&amp;B83,""),"")</f>
        <v/>
      </c>
      <c r="E83" t="s">
        <v>724</v>
      </c>
      <c r="F83" t="s">
        <v>660</v>
      </c>
      <c r="G83" t="s">
        <v>727</v>
      </c>
    </row>
    <row r="84" spans="2:7">
      <c r="B84" t="str">
        <f t="shared" si="2"/>
        <v>暗視の習熟段階が出自・来歴ボーナスがあるのに、現在値に反映されていません</v>
      </c>
      <c r="D84" t="str">
        <f>IF(冒険者技能!H68=ラベル!$G$3,IF(冒険者技能!I68=ラベル!$G$2,CHAR(10)&amp;B84,""),"")</f>
        <v/>
      </c>
      <c r="E84" t="s">
        <v>724</v>
      </c>
      <c r="F84" t="s">
        <v>662</v>
      </c>
      <c r="G84" t="s">
        <v>727</v>
      </c>
    </row>
    <row r="85" spans="2:7">
      <c r="B85" t="str">
        <f t="shared" si="2"/>
        <v>鑑定の習熟段階が出自・来歴ボーナスがあるのに、現在値に反映されていません</v>
      </c>
      <c r="D85" t="str">
        <f>IF(冒険者技能!H69=ラベル!$G$3,IF(冒険者技能!I69=ラベル!$G$2,CHAR(10)&amp;B85,""),"")</f>
        <v/>
      </c>
      <c r="E85" t="s">
        <v>724</v>
      </c>
      <c r="F85" t="s">
        <v>664</v>
      </c>
      <c r="G85" t="s">
        <v>727</v>
      </c>
    </row>
    <row r="86" spans="2:7">
      <c r="B86" t="str">
        <f t="shared" si="2"/>
        <v>騎乗の習熟段階が出自・来歴ボーナスがあるのに、現在値に反映されていません</v>
      </c>
      <c r="D86" t="str">
        <f>IF(冒険者技能!H70=ラベル!$G$3,IF(冒険者技能!I70=ラベル!$G$2,CHAR(10)&amp;B86,""),"")</f>
        <v/>
      </c>
      <c r="E86" t="s">
        <v>724</v>
      </c>
      <c r="F86" t="s">
        <v>666</v>
      </c>
      <c r="G86" t="s">
        <v>727</v>
      </c>
    </row>
    <row r="87" spans="2:7">
      <c r="B87" t="str">
        <f t="shared" si="2"/>
        <v>祈祷の習熟段階が出自・来歴ボーナスがあるのに、現在値に反映されていません</v>
      </c>
      <c r="D87" t="str">
        <f>IF(冒険者技能!H71=ラベル!$G$3,IF(冒険者技能!I71=ラベル!$G$2,CHAR(10)&amp;B87,""),"")</f>
        <v/>
      </c>
      <c r="E87" t="s">
        <v>724</v>
      </c>
      <c r="F87" t="s">
        <v>668</v>
      </c>
      <c r="G87" t="s">
        <v>727</v>
      </c>
    </row>
    <row r="88" spans="2:7">
      <c r="B88" t="str">
        <f t="shared" si="2"/>
        <v>芸能：歌唱の習熟段階が出自・来歴ボーナスがあるのに、現在値に反映されていません</v>
      </c>
      <c r="D88" t="str">
        <f>IF(冒険者技能!H72=ラベル!$G$3,IF(冒険者技能!I72=ラベル!$G$2,CHAR(10)&amp;B88,""),"")</f>
        <v/>
      </c>
      <c r="E88" t="s">
        <v>724</v>
      </c>
      <c r="F88" t="s">
        <v>670</v>
      </c>
      <c r="G88" t="s">
        <v>727</v>
      </c>
    </row>
    <row r="89" spans="2:7">
      <c r="B89" t="str">
        <f t="shared" si="2"/>
        <v>芸能：演奏の習熟段階が出自・来歴ボーナスがあるのに、現在値に反映されていません</v>
      </c>
      <c r="D89" t="str">
        <f>IF(冒険者技能!H73=ラベル!$G$3,IF(冒険者技能!I73=ラベル!$G$2,CHAR(10)&amp;B89,""),"")</f>
        <v/>
      </c>
      <c r="E89" t="s">
        <v>724</v>
      </c>
      <c r="F89" t="s">
        <v>672</v>
      </c>
      <c r="G89" t="s">
        <v>727</v>
      </c>
    </row>
    <row r="90" spans="2:7">
      <c r="B90" t="str">
        <f t="shared" si="2"/>
        <v>芸能：舞踊の習熟段階が出自・来歴ボーナスがあるのに、現在値に反映されていません</v>
      </c>
      <c r="D90" t="str">
        <f>IF(冒険者技能!H74=ラベル!$G$3,IF(冒険者技能!I74=ラベル!$G$2,CHAR(10)&amp;B90,""),"")</f>
        <v/>
      </c>
      <c r="E90" t="s">
        <v>724</v>
      </c>
      <c r="F90" t="s">
        <v>673</v>
      </c>
      <c r="G90" t="s">
        <v>727</v>
      </c>
    </row>
    <row r="91" spans="2:7">
      <c r="B91" t="str">
        <f t="shared" si="2"/>
        <v>芸能：大道芸の習熟段階が出自・来歴ボーナスがあるのに、現在値に反映されていません</v>
      </c>
      <c r="D91" t="str">
        <f>IF(冒険者技能!H75=ラベル!$G$3,IF(冒険者技能!I75=ラベル!$G$2,CHAR(10)&amp;B91,""),"")</f>
        <v/>
      </c>
      <c r="E91" t="s">
        <v>724</v>
      </c>
      <c r="F91" t="s">
        <v>674</v>
      </c>
      <c r="G91" t="s">
        <v>727</v>
      </c>
    </row>
    <row r="92" spans="2:7">
      <c r="B92" t="str">
        <f t="shared" si="2"/>
        <v>芸能：演劇の習熟段階が出自・来歴ボーナスがあるのに、現在値に反映されていません</v>
      </c>
      <c r="D92" t="str">
        <f>IF(冒険者技能!H76=ラベル!$G$3,IF(冒険者技能!I76=ラベル!$G$2,CHAR(10)&amp;B92,""),"")</f>
        <v/>
      </c>
      <c r="E92" t="s">
        <v>724</v>
      </c>
      <c r="F92" t="s">
        <v>675</v>
      </c>
      <c r="G92" t="s">
        <v>727</v>
      </c>
    </row>
    <row r="93" spans="2:7">
      <c r="B93" t="str">
        <f t="shared" si="2"/>
        <v>工作の習熟段階が出自・来歴ボーナスがあるのに、現在値に反映されていません</v>
      </c>
      <c r="D93" t="str">
        <f>IF(冒険者技能!H77=ラベル!$G$3,IF(冒険者技能!I77=ラベル!$G$2,CHAR(10)&amp;B93,""),"")</f>
        <v/>
      </c>
      <c r="E93" t="s">
        <v>724</v>
      </c>
      <c r="F93" t="s">
        <v>676</v>
      </c>
      <c r="G93" t="s">
        <v>727</v>
      </c>
    </row>
    <row r="94" spans="2:7">
      <c r="B94" t="str">
        <f t="shared" si="2"/>
        <v>交渉：説得の習熟段階が出自・来歴ボーナスがあるのに、現在値に反映されていません</v>
      </c>
      <c r="D94" t="str">
        <f>IF(冒険者技能!H78=ラベル!$G$3,IF(冒険者技能!I78=ラベル!$G$2,CHAR(10)&amp;B94,""),"")</f>
        <v/>
      </c>
      <c r="E94" t="s">
        <v>724</v>
      </c>
      <c r="F94" t="s">
        <v>202</v>
      </c>
      <c r="G94" t="s">
        <v>727</v>
      </c>
    </row>
    <row r="95" spans="2:7">
      <c r="B95" t="str">
        <f t="shared" si="2"/>
        <v>交渉：誘惑の習熟段階が出自・来歴ボーナスがあるのに、現在値に反映されていません</v>
      </c>
      <c r="D95" t="str">
        <f>IF(冒険者技能!H79=ラベル!$G$3,IF(冒険者技能!I79=ラベル!$G$2,CHAR(10)&amp;B95,""),"")</f>
        <v/>
      </c>
      <c r="E95" t="s">
        <v>724</v>
      </c>
      <c r="F95" t="s">
        <v>205</v>
      </c>
      <c r="G95" t="s">
        <v>727</v>
      </c>
    </row>
    <row r="96" spans="2:7">
      <c r="B96" t="str">
        <f t="shared" si="2"/>
        <v>交渉：脅迫の習熟段階が出自・来歴ボーナスがあるのに、現在値に反映されていません</v>
      </c>
      <c r="D96" t="str">
        <f>IF(冒険者技能!H80=ラベル!$G$3,IF(冒険者技能!I80=ラベル!$G$2,CHAR(10)&amp;B96,""),"")</f>
        <v/>
      </c>
      <c r="E96" t="s">
        <v>724</v>
      </c>
      <c r="F96" t="s">
        <v>208</v>
      </c>
      <c r="G96" t="s">
        <v>727</v>
      </c>
    </row>
    <row r="97" spans="2:7">
      <c r="B97" t="str">
        <f t="shared" si="2"/>
        <v>交渉：言いくるめの習熟段階が出自・来歴ボーナスがあるのに、現在値に反映されていません</v>
      </c>
      <c r="D97" t="str">
        <f>IF(冒険者技能!H81=ラベル!$G$3,IF(冒険者技能!I81=ラベル!$G$2,CHAR(10)&amp;B97,""),"")</f>
        <v/>
      </c>
      <c r="E97" t="s">
        <v>724</v>
      </c>
      <c r="F97" t="s">
        <v>211</v>
      </c>
      <c r="G97" t="s">
        <v>727</v>
      </c>
    </row>
    <row r="98" spans="2:7">
      <c r="B98" t="str">
        <f t="shared" si="2"/>
        <v>職人：火事の習熟段階が出自・来歴ボーナスがあるのに、現在値に反映されていません</v>
      </c>
      <c r="D98" t="str">
        <f>IF(冒険者技能!H82=ラベル!$G$3,IF(冒険者技能!I82=ラベル!$G$2,CHAR(10)&amp;B98,""),"")</f>
        <v/>
      </c>
      <c r="E98" t="s">
        <v>724</v>
      </c>
      <c r="F98" t="s">
        <v>728</v>
      </c>
      <c r="G98" t="s">
        <v>727</v>
      </c>
    </row>
    <row r="99" spans="2:7">
      <c r="B99" t="str">
        <f t="shared" si="2"/>
        <v>職人：裁縫の習熟段階が出自・来歴ボーナスがあるのに、現在値に反映されていません</v>
      </c>
      <c r="D99" t="str">
        <f>IF(冒険者技能!H83=ラベル!$G$3,IF(冒険者技能!I83=ラベル!$G$2,CHAR(10)&amp;B99,""),"")</f>
        <v/>
      </c>
      <c r="E99" t="s">
        <v>724</v>
      </c>
      <c r="F99" t="s">
        <v>680</v>
      </c>
      <c r="G99" t="s">
        <v>727</v>
      </c>
    </row>
    <row r="100" spans="2:7">
      <c r="B100" t="str">
        <f t="shared" si="2"/>
        <v>職人：木工の習熟段階が出自・来歴ボーナスがあるのに、現在値に反映されていません</v>
      </c>
      <c r="D100" t="str">
        <f>IF(冒険者技能!H84=ラベル!$G$3,IF(冒険者技能!I84=ラベル!$G$2,CHAR(10)&amp;B100,""),"")</f>
        <v/>
      </c>
      <c r="E100" t="s">
        <v>724</v>
      </c>
      <c r="F100" t="s">
        <v>681</v>
      </c>
      <c r="G100" t="s">
        <v>727</v>
      </c>
    </row>
    <row r="101" spans="2:7">
      <c r="B101" t="str">
        <f t="shared" si="2"/>
        <v>職人：革細工の習熟段階が出自・来歴ボーナスがあるのに、現在値に反映されていません</v>
      </c>
      <c r="D101" t="str">
        <f>IF(冒険者技能!H85=ラベル!$G$3,IF(冒険者技能!I85=ラベル!$G$2,CHAR(10)&amp;B101,""),"")</f>
        <v/>
      </c>
      <c r="E101" t="s">
        <v>724</v>
      </c>
      <c r="F101" t="s">
        <v>682</v>
      </c>
      <c r="G101" t="s">
        <v>727</v>
      </c>
    </row>
    <row r="102" spans="2:7">
      <c r="B102" t="str">
        <f t="shared" si="2"/>
        <v>職人：彫金の習熟段階が出自・来歴ボーナスがあるのに、現在値に反映されていません</v>
      </c>
      <c r="D102" t="str">
        <f>IF(冒険者技能!H86=ラベル!$G$3,IF(冒険者技能!I86=ラベル!$G$2,CHAR(10)&amp;B102,""),"")</f>
        <v/>
      </c>
      <c r="E102" t="s">
        <v>724</v>
      </c>
      <c r="F102" t="s">
        <v>683</v>
      </c>
      <c r="G102" t="s">
        <v>727</v>
      </c>
    </row>
    <row r="103" spans="2:7">
      <c r="B103" t="str">
        <f t="shared" si="2"/>
        <v>神学の習熟段階が出自・来歴ボーナスがあるのに、現在値に反映されていません</v>
      </c>
      <c r="D103" t="str">
        <f>IF(冒険者技能!H87=ラベル!$G$3,IF(冒険者技能!I87=ラベル!$G$2,CHAR(10)&amp;B103,""),"")</f>
        <v/>
      </c>
      <c r="E103" t="s">
        <v>724</v>
      </c>
      <c r="F103" t="s">
        <v>684</v>
      </c>
      <c r="G103" t="s">
        <v>727</v>
      </c>
    </row>
    <row r="104" spans="2:7">
      <c r="B104" t="str">
        <f t="shared" si="2"/>
        <v>信仰心：至高神の習熟段階が出自・来歴ボーナスがあるのに、現在値に反映されていません</v>
      </c>
      <c r="D104" t="str">
        <f>IF(冒険者技能!H88=ラベル!$G$3,IF(冒険者技能!I88=ラベル!$G$2,CHAR(10)&amp;B104,""),"")</f>
        <v/>
      </c>
      <c r="E104" t="s">
        <v>724</v>
      </c>
      <c r="F104" t="s">
        <v>686</v>
      </c>
      <c r="G104" t="s">
        <v>727</v>
      </c>
    </row>
    <row r="105" spans="2:7">
      <c r="B105" t="str">
        <f t="shared" si="2"/>
        <v>信仰心：地母神の習熟段階が出自・来歴ボーナスがあるのに、現在値に反映されていません</v>
      </c>
      <c r="D105" t="str">
        <f>IF(冒険者技能!H89=ラベル!$G$3,IF(冒険者技能!I89=ラベル!$G$2,CHAR(10)&amp;B105,""),"")</f>
        <v/>
      </c>
      <c r="E105" t="s">
        <v>724</v>
      </c>
      <c r="F105" t="s">
        <v>688</v>
      </c>
      <c r="G105" t="s">
        <v>727</v>
      </c>
    </row>
    <row r="106" spans="2:7">
      <c r="B106" t="str">
        <f t="shared" si="2"/>
        <v>信仰心：交易神の習熟段階が出自・来歴ボーナスがあるのに、現在値に反映されていません</v>
      </c>
      <c r="D106" t="str">
        <f>IF(冒険者技能!H90=ラベル!$G$3,IF(冒険者技能!I90=ラベル!$G$2,CHAR(10)&amp;B106,""),"")</f>
        <v/>
      </c>
      <c r="E106" t="s">
        <v>724</v>
      </c>
      <c r="F106" t="s">
        <v>689</v>
      </c>
      <c r="G106" t="s">
        <v>727</v>
      </c>
    </row>
    <row r="107" spans="2:7">
      <c r="B107" t="str">
        <f t="shared" si="2"/>
        <v>信仰心：知識神の習熟段階が出自・来歴ボーナスがあるのに、現在値に反映されていません</v>
      </c>
      <c r="D107" t="str">
        <f>IF(冒険者技能!H91=ラベル!$G$3,IF(冒険者技能!I91=ラベル!$G$2,CHAR(10)&amp;B107,""),"")</f>
        <v/>
      </c>
      <c r="E107" t="s">
        <v>724</v>
      </c>
      <c r="F107" t="s">
        <v>690</v>
      </c>
      <c r="G107" t="s">
        <v>727</v>
      </c>
    </row>
    <row r="108" spans="2:7">
      <c r="B108" t="str">
        <f t="shared" si="2"/>
        <v>信仰心：戦女神の習熟段階が出自・来歴ボーナスがあるのに、現在値に反映されていません</v>
      </c>
      <c r="D108" t="str">
        <f>IF(冒険者技能!H92=ラベル!$G$3,IF(冒険者技能!I92=ラベル!$G$2,CHAR(10)&amp;B108,""),"")</f>
        <v/>
      </c>
      <c r="E108" t="s">
        <v>724</v>
      </c>
      <c r="F108" t="s">
        <v>691</v>
      </c>
      <c r="G108" t="s">
        <v>727</v>
      </c>
    </row>
    <row r="109" spans="2:7">
      <c r="B109" t="str">
        <f t="shared" si="2"/>
        <v>信仰心：祖竜の習熟段階が出自・来歴ボーナスがあるのに、現在値に反映されていません</v>
      </c>
      <c r="D109" t="str">
        <f>IF(冒険者技能!H93=ラベル!$G$3,IF(冒険者技能!I93=ラベル!$G$2,CHAR(10)&amp;B109,""),"")</f>
        <v/>
      </c>
      <c r="E109" t="s">
        <v>724</v>
      </c>
      <c r="F109" t="s">
        <v>692</v>
      </c>
      <c r="G109" t="s">
        <v>727</v>
      </c>
    </row>
    <row r="110" spans="2:7">
      <c r="B110" t="str">
        <f t="shared" si="2"/>
        <v>生産業：農業の習熟段階が出自・来歴ボーナスがあるのに、現在値に反映されていません</v>
      </c>
      <c r="D110" t="str">
        <f>IF(冒険者技能!H94=ラベル!$G$3,IF(冒険者技能!I94=ラベル!$G$2,CHAR(10)&amp;B110,""),"")</f>
        <v/>
      </c>
      <c r="E110" t="s">
        <v>724</v>
      </c>
      <c r="F110" t="s">
        <v>693</v>
      </c>
      <c r="G110" t="s">
        <v>727</v>
      </c>
    </row>
    <row r="111" spans="2:7">
      <c r="B111" t="str">
        <f t="shared" si="2"/>
        <v>生産業：漁業の習熟段階が出自・来歴ボーナスがあるのに、現在値に反映されていません</v>
      </c>
      <c r="D111" t="str">
        <f>IF(冒険者技能!H95=ラベル!$G$3,IF(冒険者技能!I95=ラベル!$G$2,CHAR(10)&amp;B111,""),"")</f>
        <v/>
      </c>
      <c r="E111" t="s">
        <v>724</v>
      </c>
      <c r="F111" t="s">
        <v>694</v>
      </c>
      <c r="G111" t="s">
        <v>727</v>
      </c>
    </row>
    <row r="112" spans="2:7">
      <c r="B112" t="str">
        <f t="shared" si="2"/>
        <v>生産業：林業の習熟段階が出自・来歴ボーナスがあるのに、現在値に反映されていません</v>
      </c>
      <c r="D112" t="str">
        <f>IF(冒険者技能!H96=ラベル!$G$3,IF(冒険者技能!I96=ラベル!$G$2,CHAR(10)&amp;B112,""),"")</f>
        <v/>
      </c>
      <c r="E112" t="s">
        <v>724</v>
      </c>
      <c r="F112" t="s">
        <v>695</v>
      </c>
      <c r="G112" t="s">
        <v>727</v>
      </c>
    </row>
    <row r="113" spans="2:7">
      <c r="B113" t="str">
        <f t="shared" si="2"/>
        <v>生産業：採掘の習熟段階が出自・来歴ボーナスがあるのに、現在値に反映されていません</v>
      </c>
      <c r="D113" t="str">
        <f>IF(冒険者技能!H97=ラベル!$G$3,IF(冒険者技能!I97=ラベル!$G$2,CHAR(10)&amp;B113,""),"")</f>
        <v/>
      </c>
      <c r="E113" t="s">
        <v>724</v>
      </c>
      <c r="F113" t="s">
        <v>696</v>
      </c>
      <c r="G113" t="s">
        <v>727</v>
      </c>
    </row>
    <row r="114" spans="2:7">
      <c r="B114" t="str">
        <f t="shared" si="2"/>
        <v>生存術の習熟段階が出自・来歴ボーナスがあるのに、現在値に反映されていません</v>
      </c>
      <c r="D114" t="str">
        <f>IF(冒険者技能!H98=ラベル!$G$3,IF(冒険者技能!I98=ラベル!$G$2,CHAR(10)&amp;B114,""),"")</f>
        <v/>
      </c>
      <c r="E114" t="s">
        <v>724</v>
      </c>
      <c r="F114" t="s">
        <v>480</v>
      </c>
      <c r="G114" t="s">
        <v>727</v>
      </c>
    </row>
    <row r="115" spans="2:7">
      <c r="B115" t="str">
        <f t="shared" si="2"/>
        <v>精霊の愛し子の習熟段階が出自・来歴ボーナスがあるのに、現在値に反映されていません</v>
      </c>
      <c r="D115" t="str">
        <f>IF(冒険者技能!H99=ラベル!$G$3,IF(冒険者技能!I99=ラベル!$G$2,CHAR(10)&amp;B115,""),"")</f>
        <v/>
      </c>
      <c r="E115" t="s">
        <v>724</v>
      </c>
      <c r="F115" t="s">
        <v>697</v>
      </c>
      <c r="G115" t="s">
        <v>727</v>
      </c>
    </row>
    <row r="116" spans="2:7">
      <c r="B116" t="str">
        <f t="shared" si="2"/>
        <v>先入観なしの習熟段階が出自・来歴ボーナスがあるのに、現在値に反映されていません</v>
      </c>
      <c r="D116" t="str">
        <f>IF(冒険者技能!H100=ラベル!$G$3,IF(冒険者技能!I100=ラベル!$G$2,CHAR(10)&amp;B116,""),"")</f>
        <v/>
      </c>
      <c r="E116" t="s">
        <v>724</v>
      </c>
      <c r="F116" t="s">
        <v>699</v>
      </c>
      <c r="G116" t="s">
        <v>727</v>
      </c>
    </row>
    <row r="117" spans="2:7">
      <c r="B117" t="str">
        <f t="shared" si="2"/>
        <v>長距離移動の習熟段階が出自・来歴ボーナスがあるのに、現在値に反映されていません</v>
      </c>
      <c r="D117" t="str">
        <f>IF(冒険者技能!H101=ラベル!$G$3,IF(冒険者技能!I101=ラベル!$G$2,CHAR(10)&amp;B117,""),"")</f>
        <v/>
      </c>
      <c r="E117" t="s">
        <v>724</v>
      </c>
      <c r="F117" t="s">
        <v>168</v>
      </c>
      <c r="G117" t="s">
        <v>727</v>
      </c>
    </row>
    <row r="118" spans="2:7">
      <c r="B118" t="str">
        <f t="shared" si="2"/>
        <v>調理の習熟段階が出自・来歴ボーナスがあるのに、現在値に反映されていません</v>
      </c>
      <c r="D118" t="str">
        <f>IF(冒険者技能!H102=ラベル!$G$3,IF(冒険者技能!I102=ラベル!$G$2,CHAR(10)&amp;B118,""),"")</f>
        <v/>
      </c>
      <c r="E118" t="s">
        <v>724</v>
      </c>
      <c r="F118" t="s">
        <v>701</v>
      </c>
      <c r="G118" t="s">
        <v>727</v>
      </c>
    </row>
    <row r="119" spans="2:7">
      <c r="B119" t="str">
        <f t="shared" si="2"/>
        <v>冷静沈着の習熟段階が出自・来歴ボーナスがあるのに、現在値に反映されていません</v>
      </c>
      <c r="D119" t="str">
        <f>IF(冒険者技能!H103=ラベル!$G$3,IF(冒険者技能!I103=ラベル!$G$2,CHAR(10)&amp;B119,""),"")</f>
        <v/>
      </c>
      <c r="E119" t="s">
        <v>724</v>
      </c>
      <c r="F119" t="s">
        <v>729</v>
      </c>
      <c r="G119" t="s">
        <v>727</v>
      </c>
    </row>
    <row r="120" spans="2:7">
      <c r="B120" t="str">
        <f t="shared" si="2"/>
        <v>統率の習熟段階が出自・来歴ボーナスがあるのに、現在値に反映されていません</v>
      </c>
      <c r="D120" t="str">
        <f>IF(冒険者技能!H104=ラベル!$G$3,IF(冒険者技能!I104=ラベル!$G$2,CHAR(10)&amp;B120,""),"")</f>
        <v/>
      </c>
      <c r="E120" t="s">
        <v>724</v>
      </c>
      <c r="F120" t="s">
        <v>703</v>
      </c>
      <c r="G120" t="s">
        <v>727</v>
      </c>
    </row>
    <row r="121" spans="2:7">
      <c r="B121" t="str">
        <f t="shared" si="2"/>
        <v>博識の習熟段階が出自・来歴ボーナスがあるのに、現在値に反映されていません</v>
      </c>
      <c r="D121" t="str">
        <f>IF(冒険者技能!H105=ラベル!$G$3,IF(冒険者技能!I105=ラベル!$G$2,CHAR(10)&amp;B121,""),"")</f>
        <v/>
      </c>
      <c r="E121" t="s">
        <v>724</v>
      </c>
      <c r="F121" t="s">
        <v>172</v>
      </c>
      <c r="G121" t="s">
        <v>727</v>
      </c>
    </row>
    <row r="122" spans="2:7">
      <c r="B122" t="str">
        <f t="shared" si="2"/>
        <v>犯罪知識の習熟段階が出自・来歴ボーナスがあるのに、現在値に反映されていません</v>
      </c>
      <c r="D122" t="str">
        <f>IF(冒険者技能!H106=ラベル!$G$3,IF(冒険者技能!I106=ラベル!$G$2,CHAR(10)&amp;B122,""),"")</f>
        <v/>
      </c>
      <c r="E122" t="s">
        <v>724</v>
      </c>
      <c r="F122" t="s">
        <v>705</v>
      </c>
      <c r="G122" t="s">
        <v>727</v>
      </c>
    </row>
    <row r="123" spans="2:7">
      <c r="B123" t="str">
        <f t="shared" si="2"/>
        <v>文献調査の習熟段階が出自・来歴ボーナスがあるのに、現在値に反映されていません</v>
      </c>
      <c r="D123" t="str">
        <f>IF(冒険者技能!H107=ラベル!$G$3,IF(冒険者技能!I107=ラベル!$G$2,CHAR(10)&amp;B123,""),"")</f>
        <v/>
      </c>
      <c r="E123" t="s">
        <v>724</v>
      </c>
      <c r="F123" t="s">
        <v>182</v>
      </c>
      <c r="G123" t="s">
        <v>727</v>
      </c>
    </row>
    <row r="124" spans="2:7">
      <c r="B124" t="str">
        <f t="shared" si="2"/>
        <v>瞑想の習熟段階が出自・来歴ボーナスがあるのに、現在値に反映されていません</v>
      </c>
      <c r="D124" t="str">
        <f>IF(冒険者技能!H108=ラベル!$G$3,IF(冒険者技能!I108=ラベル!$G$2,CHAR(10)&amp;B124,""),"")</f>
        <v/>
      </c>
      <c r="E124" t="s">
        <v>724</v>
      </c>
      <c r="F124" t="s">
        <v>707</v>
      </c>
      <c r="G124" t="s">
        <v>727</v>
      </c>
    </row>
    <row r="125" spans="2:7">
      <c r="B125" t="str">
        <f t="shared" si="2"/>
        <v>竜の末裔の習熟段階が出自・来歴ボーナスがあるのに、現在値に反映されていません</v>
      </c>
      <c r="D125" t="str">
        <f>IF(冒険者技能!H109=ラベル!$G$3,IF(冒険者技能!I109=ラベル!$G$2,CHAR(10)&amp;B125,""),"")</f>
        <v/>
      </c>
      <c r="E125" t="s">
        <v>724</v>
      </c>
      <c r="F125" t="s">
        <v>708</v>
      </c>
      <c r="G125" t="s">
        <v>727</v>
      </c>
    </row>
    <row r="126" spans="2:7">
      <c r="B126" t="str">
        <f t="shared" si="2"/>
        <v>礼儀作法の習熟段階が出自・来歴ボーナスがあるのに、現在値に反映されていません</v>
      </c>
      <c r="D126" t="str">
        <f>IF(冒険者技能!H110=ラベル!$G$3,IF(冒険者技能!I110=ラベル!$G$2,CHAR(10)&amp;B126,""),"")</f>
        <v/>
      </c>
      <c r="E126" t="s">
        <v>724</v>
      </c>
      <c r="F126" t="s">
        <v>709</v>
      </c>
      <c r="G126" t="s">
        <v>727</v>
      </c>
    </row>
    <row r="127" spans="2:7">
      <c r="B127" t="str">
        <f t="shared" si="2"/>
        <v>労働の習熟段階が出自・来歴ボーナスがあるのに、現在値に反映されていません</v>
      </c>
      <c r="D127" t="str">
        <f>IF(冒険者技能!H111=ラベル!$G$3,IF(冒険者技能!I111=ラベル!$G$2,CHAR(10)&amp;B127,""),"")</f>
        <v/>
      </c>
      <c r="E127" t="s">
        <v>724</v>
      </c>
      <c r="F127" t="s">
        <v>711</v>
      </c>
      <c r="G127" t="s">
        <v>727</v>
      </c>
    </row>
    <row r="128" spans="2:7">
      <c r="B128" t="s">
        <v>730</v>
      </c>
      <c r="C128">
        <f>冒険者職業レベル!E20-冒険者職業レベル!E21</f>
        <v>0</v>
      </c>
      <c r="D128" t="str">
        <f>IF(C128&lt;0,CHAR(10)&amp;B128,"")</f>
        <v/>
      </c>
    </row>
    <row r="129" spans="2:4">
      <c r="B129" t="s">
        <v>731</v>
      </c>
      <c r="C129" s="4">
        <f>MIN(冒険者職業レベル!D19-冒険者職業レベル!E19,冒険者職業レベル!D31-冒険者職業レベル!E31)</f>
        <v>0</v>
      </c>
      <c r="D129" t="str">
        <f>IF(C129&lt;0,CHAR(10)&amp;B129,"")</f>
        <v/>
      </c>
    </row>
    <row r="130" spans="2:4">
      <c r="B130" t="s">
        <v>732</v>
      </c>
      <c r="C130" s="4">
        <f>冒険者職業レベル!D18</f>
        <v>0</v>
      </c>
      <c r="D130" t="str">
        <f>IF(C130&lt;0,CHAR(10)&amp;B130,"")</f>
        <v/>
      </c>
    </row>
    <row r="131" spans="2:4">
      <c r="B131" t="s">
        <v>733</v>
      </c>
      <c r="C131" s="4">
        <f>冒険者職業レベル!D15</f>
        <v>500</v>
      </c>
      <c r="D131" t="str">
        <f>IF(C131&lt;0,CHAR(10)&amp;B131,"")</f>
        <v/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W462"/>
  <sheetViews>
    <sheetView topLeftCell="BB1" workbookViewId="0">
      <selection activeCell="BX64" sqref="BX64"/>
    </sheetView>
  </sheetViews>
  <sheetFormatPr defaultRowHeight="13"/>
  <cols>
    <col min="1" max="1" width="12.08984375" customWidth="1"/>
    <col min="2" max="2" width="9.90625" customWidth="1"/>
    <col min="3" max="3" width="7.26953125" bestFit="1" customWidth="1"/>
    <col min="4" max="4" width="11.36328125" bestFit="1" customWidth="1"/>
    <col min="5" max="5" width="17.36328125" bestFit="1" customWidth="1"/>
    <col min="6" max="6" width="13.453125" bestFit="1" customWidth="1"/>
    <col min="7" max="7" width="9.26953125" bestFit="1" customWidth="1"/>
    <col min="36" max="36" width="39.26953125" bestFit="1" customWidth="1"/>
  </cols>
  <sheetData>
    <row r="1" spans="1:75">
      <c r="A1" t="s">
        <v>21</v>
      </c>
      <c r="B1" t="s">
        <v>26</v>
      </c>
      <c r="C1" t="s">
        <v>3</v>
      </c>
      <c r="D1" t="s">
        <v>734</v>
      </c>
      <c r="E1" t="s">
        <v>735</v>
      </c>
      <c r="F1" t="s">
        <v>736</v>
      </c>
      <c r="G1" t="s">
        <v>737</v>
      </c>
      <c r="H1" t="s">
        <v>738</v>
      </c>
      <c r="I1" t="s">
        <v>519</v>
      </c>
      <c r="J1" t="s">
        <v>739</v>
      </c>
      <c r="K1" t="s">
        <v>740</v>
      </c>
      <c r="L1" t="s">
        <v>741</v>
      </c>
      <c r="M1" t="s">
        <v>742</v>
      </c>
      <c r="N1" t="s">
        <v>743</v>
      </c>
      <c r="O1" t="s">
        <v>744</v>
      </c>
      <c r="P1" t="s">
        <v>264</v>
      </c>
      <c r="Q1" t="s">
        <v>745</v>
      </c>
      <c r="R1" t="s">
        <v>746</v>
      </c>
      <c r="S1" t="s">
        <v>747</v>
      </c>
      <c r="T1" t="s">
        <v>748</v>
      </c>
      <c r="U1" t="s">
        <v>439</v>
      </c>
      <c r="V1" t="s">
        <v>5</v>
      </c>
      <c r="W1" t="s">
        <v>6</v>
      </c>
      <c r="X1" t="s">
        <v>444</v>
      </c>
      <c r="Y1" t="s">
        <v>439</v>
      </c>
      <c r="Z1" t="s">
        <v>439</v>
      </c>
      <c r="AA1" t="s">
        <v>439</v>
      </c>
      <c r="AB1" t="s">
        <v>34</v>
      </c>
      <c r="AC1" t="s">
        <v>39</v>
      </c>
      <c r="AD1" t="s">
        <v>518</v>
      </c>
      <c r="AE1" t="s">
        <v>749</v>
      </c>
      <c r="AF1" t="s">
        <v>750</v>
      </c>
      <c r="AG1" t="s">
        <v>751</v>
      </c>
      <c r="AH1" t="s">
        <v>752</v>
      </c>
      <c r="AI1" t="s">
        <v>58</v>
      </c>
      <c r="AJ1" t="s">
        <v>753</v>
      </c>
      <c r="AK1" t="s">
        <v>73</v>
      </c>
      <c r="AL1" t="s">
        <v>754</v>
      </c>
      <c r="AM1" t="s">
        <v>755</v>
      </c>
      <c r="AN1" t="s">
        <v>756</v>
      </c>
      <c r="AO1" t="s">
        <v>757</v>
      </c>
      <c r="AP1" t="s">
        <v>758</v>
      </c>
      <c r="AQ1" t="s">
        <v>759</v>
      </c>
      <c r="AR1" t="s">
        <v>760</v>
      </c>
      <c r="AS1" t="s">
        <v>761</v>
      </c>
      <c r="AT1" t="s">
        <v>762</v>
      </c>
      <c r="AU1" t="s">
        <v>763</v>
      </c>
      <c r="AV1" t="s">
        <v>661</v>
      </c>
      <c r="AW1" t="s">
        <v>764</v>
      </c>
      <c r="AX1" t="s">
        <v>765</v>
      </c>
      <c r="AY1" t="s">
        <v>766</v>
      </c>
      <c r="AZ1" t="s">
        <v>767</v>
      </c>
      <c r="BA1" t="s">
        <v>768</v>
      </c>
      <c r="BB1" t="s">
        <v>769</v>
      </c>
      <c r="BC1" t="s">
        <v>106</v>
      </c>
      <c r="BD1" t="s">
        <v>770</v>
      </c>
      <c r="BE1" t="s">
        <v>771</v>
      </c>
      <c r="BF1" t="s">
        <v>772</v>
      </c>
      <c r="BG1" t="s">
        <v>773</v>
      </c>
      <c r="BH1" t="s">
        <v>774</v>
      </c>
      <c r="BI1" t="s">
        <v>775</v>
      </c>
      <c r="BJ1" t="s">
        <v>776</v>
      </c>
      <c r="BK1" t="s">
        <v>777</v>
      </c>
      <c r="BL1" t="s">
        <v>778</v>
      </c>
      <c r="BM1" t="s">
        <v>779</v>
      </c>
      <c r="BN1" t="s">
        <v>122</v>
      </c>
      <c r="BO1" t="s">
        <v>780</v>
      </c>
      <c r="BP1" t="s">
        <v>781</v>
      </c>
      <c r="BQ1" t="s">
        <v>782</v>
      </c>
      <c r="BR1" t="s">
        <v>783</v>
      </c>
      <c r="BS1" t="s">
        <v>126</v>
      </c>
      <c r="BT1" t="s">
        <v>784</v>
      </c>
      <c r="BU1" t="s">
        <v>785</v>
      </c>
      <c r="BV1" t="s">
        <v>19</v>
      </c>
      <c r="BW1" t="s">
        <v>2168</v>
      </c>
    </row>
    <row r="2" spans="1:75">
      <c r="A2" t="s">
        <v>22</v>
      </c>
      <c r="B2" t="s">
        <v>22</v>
      </c>
      <c r="C2" t="s">
        <v>4</v>
      </c>
      <c r="D2" t="s">
        <v>786</v>
      </c>
      <c r="E2" t="s">
        <v>23</v>
      </c>
      <c r="F2" s="18" t="s">
        <v>787</v>
      </c>
      <c r="G2" s="18" t="s">
        <v>787</v>
      </c>
      <c r="H2" s="18" t="s">
        <v>787</v>
      </c>
      <c r="I2">
        <v>0</v>
      </c>
      <c r="J2">
        <v>0</v>
      </c>
      <c r="K2" t="s">
        <v>788</v>
      </c>
      <c r="L2" t="s">
        <v>788</v>
      </c>
      <c r="M2" t="s">
        <v>788</v>
      </c>
      <c r="N2" t="s">
        <v>788</v>
      </c>
      <c r="O2" t="s">
        <v>20</v>
      </c>
      <c r="Q2">
        <v>0</v>
      </c>
      <c r="R2" t="s">
        <v>108</v>
      </c>
      <c r="S2" t="s">
        <v>108</v>
      </c>
      <c r="T2" t="s">
        <v>108</v>
      </c>
      <c r="U2">
        <v>2</v>
      </c>
      <c r="V2" t="s">
        <v>789</v>
      </c>
      <c r="W2" t="s">
        <v>7</v>
      </c>
      <c r="X2">
        <v>0</v>
      </c>
      <c r="Y2">
        <v>1</v>
      </c>
      <c r="Z2" t="s">
        <v>790</v>
      </c>
      <c r="AA2">
        <v>1</v>
      </c>
      <c r="AB2" t="s">
        <v>447</v>
      </c>
      <c r="AC2" s="19" t="s">
        <v>788</v>
      </c>
      <c r="AD2" s="19" t="s">
        <v>788</v>
      </c>
      <c r="AE2" t="s">
        <v>788</v>
      </c>
      <c r="AF2" t="s">
        <v>788</v>
      </c>
      <c r="AH2" t="s">
        <v>58</v>
      </c>
      <c r="AI2" t="s">
        <v>788</v>
      </c>
      <c r="AJ2" t="s">
        <v>73</v>
      </c>
      <c r="AK2" t="s">
        <v>788</v>
      </c>
      <c r="AL2" t="s">
        <v>788</v>
      </c>
      <c r="AM2" t="s">
        <v>788</v>
      </c>
      <c r="AN2" t="s">
        <v>788</v>
      </c>
      <c r="AO2" t="s">
        <v>788</v>
      </c>
      <c r="AP2" t="s">
        <v>788</v>
      </c>
      <c r="AQ2" t="s">
        <v>788</v>
      </c>
      <c r="AR2" t="s">
        <v>788</v>
      </c>
      <c r="AS2" t="s">
        <v>788</v>
      </c>
      <c r="AT2" t="s">
        <v>788</v>
      </c>
      <c r="AU2" t="s">
        <v>788</v>
      </c>
      <c r="AV2" t="s">
        <v>788</v>
      </c>
      <c r="AW2" t="s">
        <v>788</v>
      </c>
      <c r="AX2" t="s">
        <v>788</v>
      </c>
      <c r="AY2" t="s">
        <v>788</v>
      </c>
      <c r="AZ2" t="s">
        <v>788</v>
      </c>
      <c r="BA2" t="s">
        <v>788</v>
      </c>
      <c r="BB2" t="s">
        <v>106</v>
      </c>
      <c r="BC2" t="s">
        <v>788</v>
      </c>
      <c r="BD2" t="s">
        <v>788</v>
      </c>
      <c r="BE2" t="s">
        <v>788</v>
      </c>
      <c r="BF2" t="s">
        <v>788</v>
      </c>
      <c r="BG2" t="s">
        <v>788</v>
      </c>
      <c r="BH2" t="s">
        <v>788</v>
      </c>
      <c r="BI2" t="s">
        <v>788</v>
      </c>
      <c r="BJ2" t="s">
        <v>788</v>
      </c>
      <c r="BK2" t="s">
        <v>788</v>
      </c>
      <c r="BL2" t="s">
        <v>788</v>
      </c>
      <c r="BM2" t="s">
        <v>122</v>
      </c>
      <c r="BN2" t="s">
        <v>788</v>
      </c>
      <c r="BO2" t="s">
        <v>788</v>
      </c>
      <c r="BP2" t="s">
        <v>788</v>
      </c>
      <c r="BQ2" t="s">
        <v>788</v>
      </c>
      <c r="BR2" t="s">
        <v>126</v>
      </c>
      <c r="BS2" t="s">
        <v>788</v>
      </c>
      <c r="BT2" t="s">
        <v>788</v>
      </c>
      <c r="BU2" t="s">
        <v>788</v>
      </c>
      <c r="BV2" t="s">
        <v>788</v>
      </c>
      <c r="BW2" t="s">
        <v>2169</v>
      </c>
    </row>
    <row r="3" spans="1:75">
      <c r="A3" t="s">
        <v>443</v>
      </c>
      <c r="B3" t="s">
        <v>443</v>
      </c>
      <c r="C3" t="s">
        <v>791</v>
      </c>
      <c r="D3" t="s">
        <v>12</v>
      </c>
      <c r="E3" t="s">
        <v>24</v>
      </c>
      <c r="F3" s="18" t="s">
        <v>792</v>
      </c>
      <c r="G3" s="18" t="s">
        <v>792</v>
      </c>
      <c r="H3" s="18" t="s">
        <v>792</v>
      </c>
      <c r="I3">
        <v>1</v>
      </c>
      <c r="J3">
        <v>1</v>
      </c>
      <c r="K3" t="s">
        <v>793</v>
      </c>
      <c r="L3" t="s">
        <v>794</v>
      </c>
      <c r="M3" t="s">
        <v>795</v>
      </c>
      <c r="N3" t="s">
        <v>796</v>
      </c>
      <c r="O3" t="s">
        <v>2127</v>
      </c>
      <c r="P3" t="s">
        <v>266</v>
      </c>
      <c r="Q3">
        <v>1</v>
      </c>
      <c r="R3" t="s">
        <v>524</v>
      </c>
      <c r="S3" t="s">
        <v>528</v>
      </c>
      <c r="T3" t="s">
        <v>524</v>
      </c>
      <c r="U3">
        <v>3</v>
      </c>
      <c r="V3" t="s">
        <v>797</v>
      </c>
      <c r="W3" t="s">
        <v>798</v>
      </c>
      <c r="X3">
        <v>1</v>
      </c>
      <c r="Y3">
        <v>2</v>
      </c>
      <c r="Z3" t="s">
        <v>799</v>
      </c>
      <c r="AA3">
        <v>2</v>
      </c>
      <c r="AB3" t="s">
        <v>448</v>
      </c>
      <c r="AC3" s="19" t="s">
        <v>523</v>
      </c>
      <c r="AD3" t="s">
        <v>800</v>
      </c>
      <c r="AE3" t="s">
        <v>801</v>
      </c>
      <c r="AF3" t="s">
        <v>801</v>
      </c>
      <c r="AG3" t="s">
        <v>802</v>
      </c>
      <c r="AH3" t="s">
        <v>740</v>
      </c>
      <c r="AI3" t="s">
        <v>793</v>
      </c>
      <c r="AJ3" t="s">
        <v>803</v>
      </c>
      <c r="AK3" t="s">
        <v>801</v>
      </c>
      <c r="AL3" t="s">
        <v>801</v>
      </c>
      <c r="AM3" t="s">
        <v>804</v>
      </c>
      <c r="AN3" t="s">
        <v>805</v>
      </c>
      <c r="AO3" t="s">
        <v>806</v>
      </c>
      <c r="AP3" t="s">
        <v>807</v>
      </c>
      <c r="AQ3" t="s">
        <v>808</v>
      </c>
      <c r="AR3" t="s">
        <v>808</v>
      </c>
      <c r="AS3" t="s">
        <v>809</v>
      </c>
      <c r="AT3" t="s">
        <v>810</v>
      </c>
      <c r="AU3" t="s">
        <v>79</v>
      </c>
      <c r="AV3" t="s">
        <v>811</v>
      </c>
      <c r="AW3" t="s">
        <v>812</v>
      </c>
      <c r="AX3" t="s">
        <v>813</v>
      </c>
      <c r="AY3" t="s">
        <v>814</v>
      </c>
      <c r="AZ3" t="s">
        <v>815</v>
      </c>
      <c r="BA3" t="s">
        <v>816</v>
      </c>
      <c r="BB3" t="s">
        <v>770</v>
      </c>
      <c r="BC3" t="s">
        <v>817</v>
      </c>
      <c r="BD3" t="s">
        <v>817</v>
      </c>
      <c r="BE3" t="s">
        <v>818</v>
      </c>
      <c r="BF3" t="s">
        <v>819</v>
      </c>
      <c r="BG3" t="s">
        <v>820</v>
      </c>
      <c r="BH3" t="s">
        <v>821</v>
      </c>
      <c r="BI3" t="s">
        <v>822</v>
      </c>
      <c r="BJ3" t="s">
        <v>823</v>
      </c>
      <c r="BK3" t="s">
        <v>824</v>
      </c>
      <c r="BL3" t="s">
        <v>825</v>
      </c>
      <c r="BM3" t="s">
        <v>780</v>
      </c>
      <c r="BN3" t="s">
        <v>826</v>
      </c>
      <c r="BO3" t="s">
        <v>826</v>
      </c>
      <c r="BP3" t="s">
        <v>827</v>
      </c>
      <c r="BQ3" t="s">
        <v>828</v>
      </c>
      <c r="BR3" t="s">
        <v>784</v>
      </c>
      <c r="BS3" t="s">
        <v>125</v>
      </c>
      <c r="BT3" t="s">
        <v>125</v>
      </c>
      <c r="BU3" t="s">
        <v>829</v>
      </c>
      <c r="BV3" t="s">
        <v>830</v>
      </c>
      <c r="BW3" t="s">
        <v>2170</v>
      </c>
    </row>
    <row r="4" spans="1:75">
      <c r="C4" t="s">
        <v>831</v>
      </c>
      <c r="D4" t="s">
        <v>832</v>
      </c>
      <c r="E4" t="s">
        <v>25</v>
      </c>
      <c r="F4" s="18"/>
      <c r="G4" s="18" t="s">
        <v>833</v>
      </c>
      <c r="H4" s="18" t="s">
        <v>833</v>
      </c>
      <c r="J4">
        <v>2</v>
      </c>
      <c r="K4" t="s">
        <v>834</v>
      </c>
      <c r="L4" t="s">
        <v>835</v>
      </c>
      <c r="M4" t="s">
        <v>836</v>
      </c>
      <c r="N4" t="s">
        <v>837</v>
      </c>
      <c r="O4" t="s">
        <v>802</v>
      </c>
      <c r="P4" t="s">
        <v>839</v>
      </c>
      <c r="Q4">
        <v>2</v>
      </c>
      <c r="R4" t="s">
        <v>526</v>
      </c>
      <c r="S4" t="s">
        <v>788</v>
      </c>
      <c r="T4" t="s">
        <v>528</v>
      </c>
      <c r="U4">
        <v>4</v>
      </c>
      <c r="V4" t="s">
        <v>840</v>
      </c>
      <c r="W4" t="s">
        <v>841</v>
      </c>
      <c r="Y4">
        <v>3</v>
      </c>
      <c r="Z4" t="s">
        <v>842</v>
      </c>
      <c r="AA4">
        <v>3</v>
      </c>
      <c r="AB4" t="s">
        <v>449</v>
      </c>
      <c r="AC4" s="19" t="s">
        <v>525</v>
      </c>
      <c r="AD4" t="s">
        <v>843</v>
      </c>
      <c r="AE4" t="s">
        <v>844</v>
      </c>
      <c r="AF4" t="s">
        <v>845</v>
      </c>
      <c r="AG4" t="s">
        <v>846</v>
      </c>
      <c r="AH4" t="s">
        <v>741</v>
      </c>
      <c r="AI4" t="s">
        <v>834</v>
      </c>
      <c r="AJ4" t="s">
        <v>847</v>
      </c>
      <c r="AK4" t="s">
        <v>844</v>
      </c>
      <c r="AL4" t="s">
        <v>844</v>
      </c>
      <c r="AM4" t="s">
        <v>848</v>
      </c>
      <c r="AN4" t="s">
        <v>849</v>
      </c>
      <c r="AO4" t="s">
        <v>850</v>
      </c>
      <c r="AP4" t="s">
        <v>851</v>
      </c>
      <c r="AQ4" t="s">
        <v>852</v>
      </c>
      <c r="AR4" t="s">
        <v>852</v>
      </c>
      <c r="AS4" t="s">
        <v>853</v>
      </c>
      <c r="AT4" t="s">
        <v>854</v>
      </c>
      <c r="AU4" t="s">
        <v>855</v>
      </c>
      <c r="AV4" t="s">
        <v>856</v>
      </c>
      <c r="AW4" t="s">
        <v>857</v>
      </c>
      <c r="AX4" t="s">
        <v>858</v>
      </c>
      <c r="AY4" t="s">
        <v>859</v>
      </c>
      <c r="AZ4" t="s">
        <v>860</v>
      </c>
      <c r="BA4" t="s">
        <v>861</v>
      </c>
      <c r="BB4" t="s">
        <v>771</v>
      </c>
      <c r="BC4" t="s">
        <v>862</v>
      </c>
      <c r="BD4" t="s">
        <v>862</v>
      </c>
      <c r="BE4" t="s">
        <v>105</v>
      </c>
      <c r="BF4" t="s">
        <v>863</v>
      </c>
      <c r="BG4" t="s">
        <v>864</v>
      </c>
      <c r="BH4" t="s">
        <v>865</v>
      </c>
      <c r="BI4" t="s">
        <v>866</v>
      </c>
      <c r="BJ4" t="s">
        <v>867</v>
      </c>
      <c r="BK4" t="s">
        <v>868</v>
      </c>
      <c r="BL4" t="s">
        <v>869</v>
      </c>
      <c r="BM4" t="s">
        <v>781</v>
      </c>
      <c r="BN4" t="s">
        <v>870</v>
      </c>
      <c r="BO4" t="s">
        <v>870</v>
      </c>
      <c r="BP4" t="s">
        <v>871</v>
      </c>
      <c r="BQ4" t="s">
        <v>872</v>
      </c>
      <c r="BR4" t="s">
        <v>785</v>
      </c>
      <c r="BS4" t="s">
        <v>873</v>
      </c>
      <c r="BT4" t="s">
        <v>873</v>
      </c>
      <c r="BU4" t="s">
        <v>874</v>
      </c>
      <c r="BV4" t="s">
        <v>875</v>
      </c>
    </row>
    <row r="5" spans="1:75">
      <c r="C5" t="s">
        <v>876</v>
      </c>
      <c r="D5" t="s">
        <v>877</v>
      </c>
      <c r="F5" s="18"/>
      <c r="G5" s="18" t="s">
        <v>878</v>
      </c>
      <c r="H5" s="18" t="s">
        <v>878</v>
      </c>
      <c r="J5">
        <v>3</v>
      </c>
      <c r="K5" t="s">
        <v>879</v>
      </c>
      <c r="L5" t="s">
        <v>880</v>
      </c>
      <c r="M5" t="s">
        <v>881</v>
      </c>
      <c r="N5" t="s">
        <v>882</v>
      </c>
      <c r="O5" t="s">
        <v>1760</v>
      </c>
      <c r="Q5">
        <v>3</v>
      </c>
      <c r="R5" t="s">
        <v>528</v>
      </c>
      <c r="T5" t="s">
        <v>788</v>
      </c>
      <c r="U5">
        <v>5</v>
      </c>
      <c r="V5" t="s">
        <v>884</v>
      </c>
      <c r="W5" t="s">
        <v>797</v>
      </c>
      <c r="AA5">
        <v>4</v>
      </c>
      <c r="AB5" t="s">
        <v>35</v>
      </c>
      <c r="AC5" s="19" t="s">
        <v>527</v>
      </c>
      <c r="AD5" t="s">
        <v>47</v>
      </c>
      <c r="AE5" t="s">
        <v>885</v>
      </c>
      <c r="AF5" t="s">
        <v>886</v>
      </c>
      <c r="AG5" t="s">
        <v>887</v>
      </c>
      <c r="AH5" t="s">
        <v>742</v>
      </c>
      <c r="AI5" t="s">
        <v>879</v>
      </c>
      <c r="AJ5" t="s">
        <v>888</v>
      </c>
      <c r="AK5" t="s">
        <v>885</v>
      </c>
      <c r="AL5" t="s">
        <v>885</v>
      </c>
      <c r="AM5" t="s">
        <v>889</v>
      </c>
      <c r="AN5" t="s">
        <v>890</v>
      </c>
      <c r="AO5" t="s">
        <v>891</v>
      </c>
      <c r="AP5" t="s">
        <v>892</v>
      </c>
      <c r="AQ5" t="s">
        <v>893</v>
      </c>
      <c r="AR5" t="s">
        <v>893</v>
      </c>
      <c r="AS5" t="s">
        <v>894</v>
      </c>
      <c r="AT5" t="s">
        <v>895</v>
      </c>
      <c r="AU5" t="s">
        <v>896</v>
      </c>
      <c r="AV5" t="s">
        <v>897</v>
      </c>
      <c r="AW5" t="s">
        <v>898</v>
      </c>
      <c r="AX5" t="s">
        <v>899</v>
      </c>
      <c r="AY5" t="s">
        <v>900</v>
      </c>
      <c r="AZ5" t="s">
        <v>901</v>
      </c>
      <c r="BA5" t="s">
        <v>902</v>
      </c>
      <c r="BB5" t="s">
        <v>772</v>
      </c>
      <c r="BC5" t="s">
        <v>903</v>
      </c>
      <c r="BD5" t="s">
        <v>903</v>
      </c>
      <c r="BE5" t="s">
        <v>904</v>
      </c>
      <c r="BF5" t="s">
        <v>905</v>
      </c>
      <c r="BG5" t="s">
        <v>906</v>
      </c>
      <c r="BH5" t="s">
        <v>907</v>
      </c>
      <c r="BI5" t="s">
        <v>908</v>
      </c>
      <c r="BJ5" t="s">
        <v>909</v>
      </c>
      <c r="BK5" t="s">
        <v>910</v>
      </c>
      <c r="BL5" t="s">
        <v>911</v>
      </c>
      <c r="BM5" t="s">
        <v>782</v>
      </c>
      <c r="BN5" t="s">
        <v>912</v>
      </c>
      <c r="BO5" t="s">
        <v>912</v>
      </c>
      <c r="BP5" t="s">
        <v>913</v>
      </c>
      <c r="BQ5" t="s">
        <v>914</v>
      </c>
      <c r="BS5" t="s">
        <v>915</v>
      </c>
      <c r="BT5" t="s">
        <v>915</v>
      </c>
      <c r="BU5" t="s">
        <v>916</v>
      </c>
      <c r="BV5" t="s">
        <v>917</v>
      </c>
    </row>
    <row r="6" spans="1:75">
      <c r="C6" t="s">
        <v>918</v>
      </c>
      <c r="D6" t="s">
        <v>919</v>
      </c>
      <c r="F6" s="18"/>
      <c r="G6" s="18" t="s">
        <v>920</v>
      </c>
      <c r="H6" s="18"/>
      <c r="J6">
        <v>4</v>
      </c>
      <c r="K6" t="s">
        <v>921</v>
      </c>
      <c r="L6" t="s">
        <v>922</v>
      </c>
      <c r="M6" t="s">
        <v>923</v>
      </c>
      <c r="N6" t="s">
        <v>924</v>
      </c>
      <c r="O6" t="s">
        <v>130</v>
      </c>
      <c r="Q6">
        <v>4</v>
      </c>
      <c r="R6" t="s">
        <v>788</v>
      </c>
      <c r="U6">
        <v>6</v>
      </c>
      <c r="V6">
        <v>15</v>
      </c>
      <c r="W6" t="s">
        <v>789</v>
      </c>
      <c r="AA6">
        <v>5</v>
      </c>
      <c r="AC6" s="19" t="s">
        <v>529</v>
      </c>
      <c r="AD6" t="s">
        <v>926</v>
      </c>
      <c r="AE6" t="s">
        <v>927</v>
      </c>
      <c r="AF6" t="s">
        <v>928</v>
      </c>
      <c r="AG6" t="s">
        <v>929</v>
      </c>
      <c r="AH6" t="s">
        <v>743</v>
      </c>
      <c r="AI6" t="s">
        <v>921</v>
      </c>
      <c r="AJ6" t="s">
        <v>930</v>
      </c>
      <c r="AK6" t="s">
        <v>927</v>
      </c>
      <c r="AL6" t="s">
        <v>927</v>
      </c>
      <c r="AM6" t="s">
        <v>931</v>
      </c>
      <c r="AN6" t="s">
        <v>932</v>
      </c>
      <c r="AO6" t="s">
        <v>933</v>
      </c>
      <c r="AP6" t="s">
        <v>934</v>
      </c>
      <c r="AQ6" t="s">
        <v>935</v>
      </c>
      <c r="AR6" t="s">
        <v>935</v>
      </c>
      <c r="AS6" t="s">
        <v>936</v>
      </c>
      <c r="AT6" t="s">
        <v>937</v>
      </c>
      <c r="AU6" t="s">
        <v>938</v>
      </c>
      <c r="AV6" t="s">
        <v>939</v>
      </c>
      <c r="AW6" t="s">
        <v>2123</v>
      </c>
      <c r="AX6" t="s">
        <v>941</v>
      </c>
      <c r="AY6" t="s">
        <v>942</v>
      </c>
      <c r="AZ6" t="s">
        <v>943</v>
      </c>
      <c r="BA6" t="s">
        <v>944</v>
      </c>
      <c r="BB6" t="s">
        <v>773</v>
      </c>
      <c r="BC6" t="s">
        <v>945</v>
      </c>
      <c r="BD6" t="s">
        <v>945</v>
      </c>
      <c r="BE6" t="s">
        <v>946</v>
      </c>
      <c r="BF6" t="s">
        <v>947</v>
      </c>
      <c r="BG6" t="s">
        <v>948</v>
      </c>
      <c r="BH6" t="s">
        <v>949</v>
      </c>
      <c r="BI6" t="s">
        <v>950</v>
      </c>
      <c r="BJ6" t="s">
        <v>951</v>
      </c>
      <c r="BK6" t="s">
        <v>952</v>
      </c>
      <c r="BL6" t="s">
        <v>953</v>
      </c>
      <c r="BN6" t="s">
        <v>954</v>
      </c>
      <c r="BO6" t="s">
        <v>954</v>
      </c>
      <c r="BP6" t="s">
        <v>955</v>
      </c>
      <c r="BQ6" t="s">
        <v>956</v>
      </c>
      <c r="BS6" t="s">
        <v>957</v>
      </c>
      <c r="BT6" t="s">
        <v>957</v>
      </c>
      <c r="BU6" t="s">
        <v>958</v>
      </c>
      <c r="BV6" t="s">
        <v>959</v>
      </c>
    </row>
    <row r="7" spans="1:75">
      <c r="D7" t="s">
        <v>960</v>
      </c>
      <c r="F7" s="18"/>
      <c r="G7" s="18" t="s">
        <v>961</v>
      </c>
      <c r="H7" s="18"/>
      <c r="J7">
        <v>5</v>
      </c>
      <c r="K7" t="s">
        <v>962</v>
      </c>
      <c r="L7" t="s">
        <v>963</v>
      </c>
      <c r="M7" t="s">
        <v>964</v>
      </c>
      <c r="N7" t="s">
        <v>965</v>
      </c>
      <c r="O7" t="s">
        <v>132</v>
      </c>
      <c r="Q7">
        <v>5</v>
      </c>
      <c r="U7">
        <v>7</v>
      </c>
      <c r="V7">
        <v>16</v>
      </c>
      <c r="W7" t="s">
        <v>967</v>
      </c>
      <c r="AA7">
        <v>6</v>
      </c>
      <c r="AC7" s="19" t="s">
        <v>531</v>
      </c>
      <c r="AD7" t="s">
        <v>968</v>
      </c>
      <c r="AE7" t="s">
        <v>969</v>
      </c>
      <c r="AF7" t="s">
        <v>970</v>
      </c>
      <c r="AG7" t="s">
        <v>971</v>
      </c>
      <c r="AI7" t="s">
        <v>962</v>
      </c>
      <c r="AJ7" t="s">
        <v>972</v>
      </c>
      <c r="AK7" t="s">
        <v>969</v>
      </c>
      <c r="AL7" t="s">
        <v>969</v>
      </c>
      <c r="AM7" t="s">
        <v>973</v>
      </c>
      <c r="AN7" t="s">
        <v>974</v>
      </c>
      <c r="AO7" t="s">
        <v>975</v>
      </c>
      <c r="AP7" t="s">
        <v>976</v>
      </c>
      <c r="AQ7" t="s">
        <v>977</v>
      </c>
      <c r="AR7" t="s">
        <v>977</v>
      </c>
      <c r="AS7" t="s">
        <v>978</v>
      </c>
      <c r="AT7" t="s">
        <v>979</v>
      </c>
      <c r="AU7" t="s">
        <v>980</v>
      </c>
      <c r="AV7" t="s">
        <v>981</v>
      </c>
      <c r="AW7" t="s">
        <v>2124</v>
      </c>
      <c r="AX7" t="s">
        <v>983</v>
      </c>
      <c r="AY7" t="s">
        <v>984</v>
      </c>
      <c r="AZ7" t="s">
        <v>985</v>
      </c>
      <c r="BA7" t="s">
        <v>986</v>
      </c>
      <c r="BB7" t="s">
        <v>774</v>
      </c>
      <c r="BC7" t="s">
        <v>987</v>
      </c>
      <c r="BD7" t="s">
        <v>987</v>
      </c>
      <c r="BE7" t="s">
        <v>988</v>
      </c>
      <c r="BF7" t="s">
        <v>989</v>
      </c>
      <c r="BG7" t="s">
        <v>990</v>
      </c>
      <c r="BH7" t="s">
        <v>991</v>
      </c>
      <c r="BI7" t="s">
        <v>992</v>
      </c>
      <c r="BJ7" t="s">
        <v>993</v>
      </c>
      <c r="BK7" t="s">
        <v>994</v>
      </c>
      <c r="BL7" t="s">
        <v>995</v>
      </c>
      <c r="BN7" t="s">
        <v>996</v>
      </c>
      <c r="BO7" t="s">
        <v>996</v>
      </c>
      <c r="BP7" t="s">
        <v>997</v>
      </c>
      <c r="BQ7" t="s">
        <v>998</v>
      </c>
      <c r="BS7" t="s">
        <v>999</v>
      </c>
      <c r="BT7" t="s">
        <v>999</v>
      </c>
      <c r="BV7" t="s">
        <v>1000</v>
      </c>
    </row>
    <row r="8" spans="1:75">
      <c r="D8" t="s">
        <v>1001</v>
      </c>
      <c r="G8" t="s">
        <v>788</v>
      </c>
      <c r="J8">
        <v>6</v>
      </c>
      <c r="K8" t="s">
        <v>175</v>
      </c>
      <c r="L8" t="s">
        <v>1002</v>
      </c>
      <c r="M8" t="s">
        <v>1003</v>
      </c>
      <c r="N8" t="s">
        <v>1004</v>
      </c>
      <c r="O8" t="s">
        <v>838</v>
      </c>
      <c r="Q8">
        <v>6</v>
      </c>
      <c r="U8">
        <v>8</v>
      </c>
      <c r="V8">
        <v>17</v>
      </c>
      <c r="W8" t="s">
        <v>1006</v>
      </c>
      <c r="AC8" s="19" t="s">
        <v>533</v>
      </c>
      <c r="AD8" t="s">
        <v>1007</v>
      </c>
      <c r="AE8" t="s">
        <v>845</v>
      </c>
      <c r="AF8" t="s">
        <v>88</v>
      </c>
      <c r="AG8" t="s">
        <v>1008</v>
      </c>
      <c r="AI8" t="s">
        <v>175</v>
      </c>
      <c r="AJ8" t="s">
        <v>1009</v>
      </c>
      <c r="AK8" t="s">
        <v>845</v>
      </c>
      <c r="AL8" t="s">
        <v>845</v>
      </c>
      <c r="AM8" t="s">
        <v>1010</v>
      </c>
      <c r="AN8" t="s">
        <v>1011</v>
      </c>
      <c r="AO8" t="s">
        <v>1012</v>
      </c>
      <c r="AP8" t="s">
        <v>1013</v>
      </c>
      <c r="AQ8" t="s">
        <v>1014</v>
      </c>
      <c r="AR8" t="s">
        <v>1014</v>
      </c>
      <c r="AS8" t="s">
        <v>81</v>
      </c>
      <c r="AU8" t="s">
        <v>1015</v>
      </c>
      <c r="AV8" t="s">
        <v>1016</v>
      </c>
      <c r="AW8" t="s">
        <v>2125</v>
      </c>
      <c r="AX8" t="s">
        <v>1018</v>
      </c>
      <c r="AY8" t="s">
        <v>1019</v>
      </c>
      <c r="AZ8" t="s">
        <v>1020</v>
      </c>
      <c r="BA8" t="s">
        <v>1021</v>
      </c>
      <c r="BB8" t="s">
        <v>775</v>
      </c>
      <c r="BC8" t="s">
        <v>1022</v>
      </c>
      <c r="BD8" t="s">
        <v>1022</v>
      </c>
      <c r="BE8" t="s">
        <v>1023</v>
      </c>
      <c r="BF8" t="s">
        <v>1024</v>
      </c>
      <c r="BG8" t="s">
        <v>1025</v>
      </c>
      <c r="BH8" t="s">
        <v>1026</v>
      </c>
      <c r="BI8" t="s">
        <v>1027</v>
      </c>
      <c r="BJ8" t="s">
        <v>1028</v>
      </c>
      <c r="BK8" t="s">
        <v>1029</v>
      </c>
      <c r="BL8" t="s">
        <v>1030</v>
      </c>
      <c r="BN8" t="s">
        <v>1031</v>
      </c>
      <c r="BO8" t="s">
        <v>1031</v>
      </c>
      <c r="BP8" t="s">
        <v>1032</v>
      </c>
      <c r="BQ8" t="s">
        <v>1033</v>
      </c>
      <c r="BS8" t="s">
        <v>829</v>
      </c>
      <c r="BT8" t="s">
        <v>1034</v>
      </c>
      <c r="BV8" t="s">
        <v>1035</v>
      </c>
    </row>
    <row r="9" spans="1:75">
      <c r="D9" t="s">
        <v>1036</v>
      </c>
      <c r="J9">
        <v>7</v>
      </c>
      <c r="K9" t="s">
        <v>1037</v>
      </c>
      <c r="L9" t="s">
        <v>1038</v>
      </c>
      <c r="M9" t="s">
        <v>1039</v>
      </c>
      <c r="N9" t="s">
        <v>1040</v>
      </c>
      <c r="O9" t="s">
        <v>883</v>
      </c>
      <c r="Q9">
        <v>7</v>
      </c>
      <c r="U9">
        <v>9</v>
      </c>
      <c r="V9">
        <v>18</v>
      </c>
      <c r="AC9" s="19" t="s">
        <v>535</v>
      </c>
      <c r="AD9" t="s">
        <v>1041</v>
      </c>
      <c r="AE9" t="s">
        <v>1042</v>
      </c>
      <c r="AF9" t="s">
        <v>1043</v>
      </c>
      <c r="AG9" t="s">
        <v>1044</v>
      </c>
      <c r="AI9" t="s">
        <v>1037</v>
      </c>
      <c r="AJ9" t="s">
        <v>1045</v>
      </c>
      <c r="AK9" t="s">
        <v>1042</v>
      </c>
      <c r="AL9" t="s">
        <v>1042</v>
      </c>
      <c r="AM9" t="s">
        <v>1046</v>
      </c>
      <c r="AN9" t="s">
        <v>1047</v>
      </c>
      <c r="AO9" t="s">
        <v>72</v>
      </c>
      <c r="AP9" t="s">
        <v>1048</v>
      </c>
      <c r="AQ9" t="s">
        <v>1049</v>
      </c>
      <c r="AR9" t="s">
        <v>1049</v>
      </c>
      <c r="AS9" t="s">
        <v>1050</v>
      </c>
      <c r="AU9" t="s">
        <v>1051</v>
      </c>
      <c r="AV9" t="s">
        <v>1052</v>
      </c>
      <c r="AW9" t="s">
        <v>940</v>
      </c>
      <c r="AX9" t="s">
        <v>1054</v>
      </c>
      <c r="AY9" t="s">
        <v>1055</v>
      </c>
      <c r="AZ9" t="s">
        <v>1056</v>
      </c>
      <c r="BA9" t="s">
        <v>1057</v>
      </c>
      <c r="BB9" t="s">
        <v>776</v>
      </c>
      <c r="BC9" t="s">
        <v>1058</v>
      </c>
      <c r="BD9" t="s">
        <v>1058</v>
      </c>
      <c r="BE9" t="s">
        <v>1059</v>
      </c>
      <c r="BF9" t="s">
        <v>1060</v>
      </c>
      <c r="BG9" t="s">
        <v>1061</v>
      </c>
      <c r="BH9" t="s">
        <v>1062</v>
      </c>
      <c r="BI9" t="s">
        <v>1063</v>
      </c>
      <c r="BJ9" t="s">
        <v>1064</v>
      </c>
      <c r="BK9" t="s">
        <v>1065</v>
      </c>
      <c r="BL9" t="s">
        <v>1066</v>
      </c>
      <c r="BN9" t="s">
        <v>827</v>
      </c>
      <c r="BP9" t="s">
        <v>1067</v>
      </c>
      <c r="BQ9" t="s">
        <v>1068</v>
      </c>
      <c r="BS9" t="s">
        <v>874</v>
      </c>
      <c r="BT9" t="s">
        <v>1069</v>
      </c>
      <c r="BV9" t="s">
        <v>1070</v>
      </c>
    </row>
    <row r="10" spans="1:75">
      <c r="D10" t="s">
        <v>1071</v>
      </c>
      <c r="J10">
        <v>8</v>
      </c>
      <c r="K10" t="s">
        <v>57</v>
      </c>
      <c r="L10" t="s">
        <v>1072</v>
      </c>
      <c r="M10" t="s">
        <v>1073</v>
      </c>
      <c r="N10" t="s">
        <v>1074</v>
      </c>
      <c r="O10" t="s">
        <v>925</v>
      </c>
      <c r="Q10">
        <v>8</v>
      </c>
      <c r="U10">
        <v>10</v>
      </c>
      <c r="V10">
        <v>19</v>
      </c>
      <c r="AC10" s="19" t="s">
        <v>40</v>
      </c>
      <c r="AD10" t="s">
        <v>1075</v>
      </c>
      <c r="AE10" t="s">
        <v>1076</v>
      </c>
      <c r="AF10" t="s">
        <v>1077</v>
      </c>
      <c r="AG10" t="s">
        <v>865</v>
      </c>
      <c r="AI10" t="s">
        <v>57</v>
      </c>
      <c r="AJ10" t="s">
        <v>1078</v>
      </c>
      <c r="AK10" t="s">
        <v>1076</v>
      </c>
      <c r="AL10" t="s">
        <v>1076</v>
      </c>
      <c r="AM10" t="s">
        <v>1079</v>
      </c>
      <c r="AN10" t="s">
        <v>1080</v>
      </c>
      <c r="AO10" t="s">
        <v>1081</v>
      </c>
      <c r="AP10" t="s">
        <v>1082</v>
      </c>
      <c r="AQ10" t="s">
        <v>1083</v>
      </c>
      <c r="AR10" t="s">
        <v>1083</v>
      </c>
      <c r="AS10" t="s">
        <v>1084</v>
      </c>
      <c r="AU10" t="s">
        <v>1085</v>
      </c>
      <c r="AV10" t="s">
        <v>1086</v>
      </c>
      <c r="AW10" t="s">
        <v>982</v>
      </c>
      <c r="AX10" t="s">
        <v>1088</v>
      </c>
      <c r="AY10" t="s">
        <v>1089</v>
      </c>
      <c r="AZ10" t="s">
        <v>1090</v>
      </c>
      <c r="BA10" t="s">
        <v>1091</v>
      </c>
      <c r="BB10" t="s">
        <v>777</v>
      </c>
      <c r="BC10" t="s">
        <v>1092</v>
      </c>
      <c r="BD10" t="s">
        <v>1092</v>
      </c>
      <c r="BF10" t="s">
        <v>1093</v>
      </c>
      <c r="BG10" t="s">
        <v>1094</v>
      </c>
      <c r="BH10" t="s">
        <v>1095</v>
      </c>
      <c r="BI10" t="s">
        <v>1096</v>
      </c>
      <c r="BJ10" t="s">
        <v>1097</v>
      </c>
      <c r="BK10" t="s">
        <v>1098</v>
      </c>
      <c r="BL10" t="s">
        <v>1099</v>
      </c>
      <c r="BN10" t="s">
        <v>871</v>
      </c>
      <c r="BP10" t="s">
        <v>1100</v>
      </c>
      <c r="BS10" t="s">
        <v>916</v>
      </c>
      <c r="BV10" t="s">
        <v>1101</v>
      </c>
    </row>
    <row r="11" spans="1:75">
      <c r="J11">
        <v>9</v>
      </c>
      <c r="K11" t="s">
        <v>60</v>
      </c>
      <c r="L11" t="s">
        <v>1102</v>
      </c>
      <c r="M11" t="s">
        <v>1103</v>
      </c>
      <c r="N11" t="s">
        <v>1104</v>
      </c>
      <c r="O11" t="s">
        <v>966</v>
      </c>
      <c r="Q11">
        <v>9</v>
      </c>
      <c r="U11">
        <v>11</v>
      </c>
      <c r="V11">
        <v>20</v>
      </c>
      <c r="AD11" t="s">
        <v>1106</v>
      </c>
      <c r="AE11" t="s">
        <v>1107</v>
      </c>
      <c r="AF11" t="s">
        <v>1108</v>
      </c>
      <c r="AG11" t="s">
        <v>1109</v>
      </c>
      <c r="AI11" t="s">
        <v>60</v>
      </c>
      <c r="AJ11" t="s">
        <v>1110</v>
      </c>
      <c r="AK11" t="s">
        <v>1107</v>
      </c>
      <c r="AL11" t="s">
        <v>1107</v>
      </c>
      <c r="AM11" t="s">
        <v>1111</v>
      </c>
      <c r="AN11" t="s">
        <v>1112</v>
      </c>
      <c r="AO11" t="s">
        <v>1113</v>
      </c>
      <c r="AP11" t="s">
        <v>1114</v>
      </c>
      <c r="AQ11" t="s">
        <v>1115</v>
      </c>
      <c r="AR11" t="s">
        <v>1115</v>
      </c>
      <c r="AS11" t="s">
        <v>1116</v>
      </c>
      <c r="AU11" t="s">
        <v>1117</v>
      </c>
      <c r="AV11" t="s">
        <v>1118</v>
      </c>
      <c r="AW11" t="s">
        <v>1017</v>
      </c>
      <c r="AX11" t="s">
        <v>1120</v>
      </c>
      <c r="AY11" t="s">
        <v>1121</v>
      </c>
      <c r="AZ11" t="s">
        <v>1122</v>
      </c>
      <c r="BA11" t="s">
        <v>1123</v>
      </c>
      <c r="BB11" t="s">
        <v>778</v>
      </c>
      <c r="BC11" t="s">
        <v>1124</v>
      </c>
      <c r="BD11" t="s">
        <v>1124</v>
      </c>
      <c r="BF11" t="s">
        <v>1125</v>
      </c>
      <c r="BH11" t="s">
        <v>1126</v>
      </c>
      <c r="BJ11" t="s">
        <v>1127</v>
      </c>
      <c r="BK11" t="s">
        <v>1128</v>
      </c>
      <c r="BL11" t="s">
        <v>1129</v>
      </c>
      <c r="BN11" t="s">
        <v>913</v>
      </c>
      <c r="BP11" t="s">
        <v>1130</v>
      </c>
      <c r="BS11" t="s">
        <v>958</v>
      </c>
      <c r="BV11" t="s">
        <v>1131</v>
      </c>
    </row>
    <row r="12" spans="1:75">
      <c r="J12">
        <v>10</v>
      </c>
      <c r="K12" t="s">
        <v>1132</v>
      </c>
      <c r="L12" t="s">
        <v>1133</v>
      </c>
      <c r="M12" t="s">
        <v>1134</v>
      </c>
      <c r="N12" t="s">
        <v>1135</v>
      </c>
      <c r="O12" t="s">
        <v>1799</v>
      </c>
      <c r="Q12">
        <v>10</v>
      </c>
      <c r="U12">
        <v>12</v>
      </c>
      <c r="V12">
        <v>21</v>
      </c>
      <c r="AD12" t="s">
        <v>1137</v>
      </c>
      <c r="AE12" t="s">
        <v>1138</v>
      </c>
      <c r="AF12" t="s">
        <v>1139</v>
      </c>
      <c r="AG12" t="s">
        <v>1140</v>
      </c>
      <c r="AI12" t="s">
        <v>1132</v>
      </c>
      <c r="AJ12" t="s">
        <v>1141</v>
      </c>
      <c r="AK12" t="s">
        <v>1138</v>
      </c>
      <c r="AL12" t="s">
        <v>1138</v>
      </c>
      <c r="AM12" t="s">
        <v>1142</v>
      </c>
      <c r="AN12" t="s">
        <v>1143</v>
      </c>
      <c r="AO12" t="s">
        <v>1144</v>
      </c>
      <c r="AP12" t="s">
        <v>1145</v>
      </c>
      <c r="AQ12" t="s">
        <v>1146</v>
      </c>
      <c r="AR12" t="s">
        <v>1146</v>
      </c>
      <c r="AS12" t="s">
        <v>1147</v>
      </c>
      <c r="AU12" t="s">
        <v>1148</v>
      </c>
      <c r="AV12" t="s">
        <v>1149</v>
      </c>
      <c r="AW12" t="s">
        <v>1053</v>
      </c>
      <c r="AY12" t="s">
        <v>1151</v>
      </c>
      <c r="AZ12" t="s">
        <v>1152</v>
      </c>
      <c r="BA12" t="s">
        <v>1153</v>
      </c>
      <c r="BC12" t="s">
        <v>1154</v>
      </c>
      <c r="BD12" t="s">
        <v>1154</v>
      </c>
      <c r="BF12" t="s">
        <v>2138</v>
      </c>
      <c r="BH12" t="s">
        <v>1155</v>
      </c>
      <c r="BJ12" t="s">
        <v>1156</v>
      </c>
      <c r="BK12" t="s">
        <v>1157</v>
      </c>
      <c r="BL12" t="s">
        <v>1158</v>
      </c>
      <c r="BN12" t="s">
        <v>955</v>
      </c>
      <c r="BS12" t="s">
        <v>1034</v>
      </c>
      <c r="BV12" t="s">
        <v>1159</v>
      </c>
    </row>
    <row r="13" spans="1:75">
      <c r="K13" t="s">
        <v>1160</v>
      </c>
      <c r="L13" t="s">
        <v>1161</v>
      </c>
      <c r="M13" t="s">
        <v>1162</v>
      </c>
      <c r="N13" t="s">
        <v>1163</v>
      </c>
      <c r="O13" t="s">
        <v>1005</v>
      </c>
      <c r="Q13">
        <v>11</v>
      </c>
      <c r="V13">
        <v>22</v>
      </c>
      <c r="AD13" t="s">
        <v>1164</v>
      </c>
      <c r="AE13" t="s">
        <v>886</v>
      </c>
      <c r="AF13" t="s">
        <v>1165</v>
      </c>
      <c r="AG13" t="s">
        <v>1166</v>
      </c>
      <c r="AI13" t="s">
        <v>1160</v>
      </c>
      <c r="AJ13" t="s">
        <v>1167</v>
      </c>
      <c r="AK13" t="s">
        <v>886</v>
      </c>
      <c r="AL13" t="s">
        <v>886</v>
      </c>
      <c r="AM13" t="s">
        <v>805</v>
      </c>
      <c r="AN13" t="s">
        <v>75</v>
      </c>
      <c r="AO13" t="s">
        <v>1168</v>
      </c>
      <c r="AP13" t="s">
        <v>1169</v>
      </c>
      <c r="AQ13" t="s">
        <v>1170</v>
      </c>
      <c r="AR13" t="s">
        <v>1170</v>
      </c>
      <c r="AS13" t="s">
        <v>1171</v>
      </c>
      <c r="AU13" t="s">
        <v>1172</v>
      </c>
      <c r="AV13" t="s">
        <v>1173</v>
      </c>
      <c r="AW13" t="s">
        <v>1087</v>
      </c>
      <c r="AY13" t="s">
        <v>1175</v>
      </c>
      <c r="AZ13" t="s">
        <v>1176</v>
      </c>
      <c r="BA13" t="s">
        <v>1177</v>
      </c>
      <c r="BC13" t="s">
        <v>1178</v>
      </c>
      <c r="BD13" t="s">
        <v>1178</v>
      </c>
      <c r="BF13" t="s">
        <v>2136</v>
      </c>
      <c r="BH13" t="s">
        <v>2113</v>
      </c>
      <c r="BJ13" t="s">
        <v>1179</v>
      </c>
      <c r="BK13" t="s">
        <v>1180</v>
      </c>
      <c r="BL13" t="s">
        <v>1181</v>
      </c>
      <c r="BN13" t="s">
        <v>997</v>
      </c>
      <c r="BS13" t="s">
        <v>1069</v>
      </c>
      <c r="BV13" t="s">
        <v>841</v>
      </c>
    </row>
    <row r="14" spans="1:75">
      <c r="K14" t="s">
        <v>1182</v>
      </c>
      <c r="L14" t="s">
        <v>1183</v>
      </c>
      <c r="M14" t="s">
        <v>2107</v>
      </c>
      <c r="N14" t="s">
        <v>1184</v>
      </c>
      <c r="O14" t="s">
        <v>2128</v>
      </c>
      <c r="Q14">
        <v>12</v>
      </c>
      <c r="V14">
        <v>23</v>
      </c>
      <c r="AD14" t="s">
        <v>1186</v>
      </c>
      <c r="AE14" t="s">
        <v>1187</v>
      </c>
      <c r="AF14" t="s">
        <v>1188</v>
      </c>
      <c r="AI14" t="s">
        <v>1182</v>
      </c>
      <c r="AJ14" t="s">
        <v>1189</v>
      </c>
      <c r="AK14" t="s">
        <v>1187</v>
      </c>
      <c r="AL14" t="s">
        <v>1187</v>
      </c>
      <c r="AM14" t="s">
        <v>849</v>
      </c>
      <c r="AN14" t="s">
        <v>1190</v>
      </c>
      <c r="AO14" t="s">
        <v>1191</v>
      </c>
      <c r="AP14" t="s">
        <v>1192</v>
      </c>
      <c r="AQ14" t="s">
        <v>1193</v>
      </c>
      <c r="AR14" t="s">
        <v>1193</v>
      </c>
      <c r="AS14" t="s">
        <v>1194</v>
      </c>
      <c r="AU14" t="s">
        <v>1195</v>
      </c>
      <c r="AV14" t="s">
        <v>1196</v>
      </c>
      <c r="AW14" t="s">
        <v>1119</v>
      </c>
      <c r="AY14" t="s">
        <v>1198</v>
      </c>
      <c r="AZ14" t="s">
        <v>1199</v>
      </c>
      <c r="BA14" t="s">
        <v>1200</v>
      </c>
      <c r="BC14" t="s">
        <v>1201</v>
      </c>
      <c r="BD14" t="s">
        <v>1201</v>
      </c>
      <c r="BH14" t="s">
        <v>2114</v>
      </c>
      <c r="BJ14" t="s">
        <v>1202</v>
      </c>
      <c r="BL14" t="s">
        <v>1203</v>
      </c>
      <c r="BN14" t="s">
        <v>1032</v>
      </c>
    </row>
    <row r="15" spans="1:75">
      <c r="K15" t="s">
        <v>1204</v>
      </c>
      <c r="L15" t="s">
        <v>1205</v>
      </c>
      <c r="M15" t="s">
        <v>2108</v>
      </c>
      <c r="N15" t="s">
        <v>1207</v>
      </c>
      <c r="O15" t="s">
        <v>2129</v>
      </c>
      <c r="Q15">
        <v>13</v>
      </c>
      <c r="V15">
        <v>24</v>
      </c>
      <c r="AD15" t="s">
        <v>1208</v>
      </c>
      <c r="AE15" t="s">
        <v>1209</v>
      </c>
      <c r="AF15" t="s">
        <v>1210</v>
      </c>
      <c r="AI15" t="s">
        <v>1204</v>
      </c>
      <c r="AJ15" t="s">
        <v>1211</v>
      </c>
      <c r="AK15" t="s">
        <v>1209</v>
      </c>
      <c r="AL15" t="s">
        <v>1209</v>
      </c>
      <c r="AM15" t="s">
        <v>890</v>
      </c>
      <c r="AN15" t="s">
        <v>1212</v>
      </c>
      <c r="AO15" t="s">
        <v>1213</v>
      </c>
      <c r="AP15" t="s">
        <v>1214</v>
      </c>
      <c r="AQ15" t="s">
        <v>1215</v>
      </c>
      <c r="AR15" t="s">
        <v>1215</v>
      </c>
      <c r="AS15" t="s">
        <v>1216</v>
      </c>
      <c r="AU15" t="s">
        <v>1217</v>
      </c>
      <c r="AV15" t="s">
        <v>812</v>
      </c>
      <c r="AW15" t="s">
        <v>1150</v>
      </c>
      <c r="AY15" t="s">
        <v>1219</v>
      </c>
      <c r="AZ15" t="s">
        <v>1220</v>
      </c>
      <c r="BC15" t="s">
        <v>818</v>
      </c>
      <c r="BD15" t="s">
        <v>1221</v>
      </c>
      <c r="BL15" t="s">
        <v>1222</v>
      </c>
      <c r="BN15" t="s">
        <v>1067</v>
      </c>
    </row>
    <row r="16" spans="1:75">
      <c r="K16" t="s">
        <v>1223</v>
      </c>
      <c r="L16" t="s">
        <v>1224</v>
      </c>
      <c r="M16" t="s">
        <v>2109</v>
      </c>
      <c r="N16" t="s">
        <v>1226</v>
      </c>
      <c r="O16" t="s">
        <v>2130</v>
      </c>
      <c r="Q16">
        <v>14</v>
      </c>
      <c r="V16">
        <v>25</v>
      </c>
      <c r="AD16" t="s">
        <v>1228</v>
      </c>
      <c r="AE16" t="s">
        <v>1229</v>
      </c>
      <c r="AF16" t="s">
        <v>1230</v>
      </c>
      <c r="AI16" t="s">
        <v>1223</v>
      </c>
      <c r="AJ16" t="s">
        <v>1231</v>
      </c>
      <c r="AK16" t="s">
        <v>1229</v>
      </c>
      <c r="AL16" t="s">
        <v>1229</v>
      </c>
      <c r="AM16" t="s">
        <v>932</v>
      </c>
      <c r="AN16" t="s">
        <v>1232</v>
      </c>
      <c r="AO16" t="s">
        <v>1233</v>
      </c>
      <c r="AP16" t="s">
        <v>1234</v>
      </c>
      <c r="AQ16" t="s">
        <v>1235</v>
      </c>
      <c r="AR16" t="s">
        <v>1235</v>
      </c>
      <c r="AS16" t="s">
        <v>1236</v>
      </c>
      <c r="AU16" t="s">
        <v>1237</v>
      </c>
      <c r="AV16" t="s">
        <v>857</v>
      </c>
      <c r="AW16" t="s">
        <v>1174</v>
      </c>
      <c r="AY16" t="s">
        <v>1239</v>
      </c>
      <c r="AZ16" t="s">
        <v>1240</v>
      </c>
      <c r="BC16" t="s">
        <v>105</v>
      </c>
      <c r="BD16" t="s">
        <v>1241</v>
      </c>
      <c r="BL16" t="s">
        <v>1242</v>
      </c>
      <c r="BN16" t="s">
        <v>828</v>
      </c>
    </row>
    <row r="17" spans="11:66">
      <c r="K17" t="s">
        <v>1243</v>
      </c>
      <c r="L17" t="s">
        <v>1244</v>
      </c>
      <c r="M17" t="s">
        <v>2110</v>
      </c>
      <c r="N17" t="s">
        <v>1246</v>
      </c>
      <c r="O17" t="s">
        <v>2131</v>
      </c>
      <c r="Q17">
        <v>15</v>
      </c>
      <c r="V17">
        <v>26</v>
      </c>
      <c r="AD17" t="s">
        <v>1248</v>
      </c>
      <c r="AE17" t="s">
        <v>1249</v>
      </c>
      <c r="AF17" t="s">
        <v>804</v>
      </c>
      <c r="AI17" t="s">
        <v>1243</v>
      </c>
      <c r="AJ17" t="s">
        <v>1250</v>
      </c>
      <c r="AK17" t="s">
        <v>1249</v>
      </c>
      <c r="AL17" t="s">
        <v>1249</v>
      </c>
      <c r="AM17" t="s">
        <v>974</v>
      </c>
      <c r="AN17" t="s">
        <v>1251</v>
      </c>
      <c r="AO17" t="s">
        <v>1252</v>
      </c>
      <c r="AP17" t="s">
        <v>1253</v>
      </c>
      <c r="AQ17" t="s">
        <v>1254</v>
      </c>
      <c r="AR17" t="s">
        <v>1254</v>
      </c>
      <c r="AS17" t="s">
        <v>1255</v>
      </c>
      <c r="AU17" t="s">
        <v>1256</v>
      </c>
      <c r="AV17" t="s">
        <v>898</v>
      </c>
      <c r="AW17" t="s">
        <v>1197</v>
      </c>
      <c r="AY17" t="s">
        <v>1258</v>
      </c>
      <c r="AZ17" t="s">
        <v>1259</v>
      </c>
      <c r="BC17" t="s">
        <v>904</v>
      </c>
      <c r="BD17" t="s">
        <v>1260</v>
      </c>
      <c r="BL17" t="s">
        <v>1261</v>
      </c>
      <c r="BN17" t="s">
        <v>872</v>
      </c>
    </row>
    <row r="18" spans="11:66">
      <c r="K18" t="s">
        <v>1262</v>
      </c>
      <c r="L18" t="s">
        <v>1263</v>
      </c>
      <c r="M18" t="s">
        <v>1206</v>
      </c>
      <c r="N18" t="s">
        <v>1265</v>
      </c>
      <c r="O18" t="s">
        <v>2132</v>
      </c>
      <c r="Q18">
        <v>16</v>
      </c>
      <c r="V18">
        <v>27</v>
      </c>
      <c r="AD18" t="s">
        <v>1267</v>
      </c>
      <c r="AE18" t="s">
        <v>928</v>
      </c>
      <c r="AF18" t="s">
        <v>1010</v>
      </c>
      <c r="AI18" t="s">
        <v>1262</v>
      </c>
      <c r="AJ18" t="s">
        <v>1268</v>
      </c>
      <c r="AK18" t="s">
        <v>928</v>
      </c>
      <c r="AL18" t="s">
        <v>928</v>
      </c>
      <c r="AM18" t="s">
        <v>1011</v>
      </c>
      <c r="AN18" t="s">
        <v>1269</v>
      </c>
      <c r="AO18" t="s">
        <v>1270</v>
      </c>
      <c r="AQ18" t="s">
        <v>1271</v>
      </c>
      <c r="AR18" t="s">
        <v>1271</v>
      </c>
      <c r="AS18" t="s">
        <v>1272</v>
      </c>
      <c r="AU18" t="s">
        <v>1273</v>
      </c>
      <c r="AV18" t="s">
        <v>2123</v>
      </c>
      <c r="AW18" t="s">
        <v>1218</v>
      </c>
      <c r="AZ18" t="s">
        <v>1274</v>
      </c>
      <c r="BC18" t="s">
        <v>946</v>
      </c>
      <c r="BD18" t="s">
        <v>1275</v>
      </c>
      <c r="BL18" t="s">
        <v>1276</v>
      </c>
      <c r="BN18" t="s">
        <v>914</v>
      </c>
    </row>
    <row r="19" spans="11:66">
      <c r="K19" t="s">
        <v>1277</v>
      </c>
      <c r="L19" t="s">
        <v>1278</v>
      </c>
      <c r="M19" t="s">
        <v>1225</v>
      </c>
      <c r="N19" t="s">
        <v>1280</v>
      </c>
      <c r="O19" t="s">
        <v>2133</v>
      </c>
      <c r="Q19">
        <v>17</v>
      </c>
      <c r="V19">
        <v>28</v>
      </c>
      <c r="AD19" t="s">
        <v>1282</v>
      </c>
      <c r="AE19" t="s">
        <v>1283</v>
      </c>
      <c r="AF19" t="s">
        <v>805</v>
      </c>
      <c r="AI19" t="s">
        <v>1277</v>
      </c>
      <c r="AK19" t="s">
        <v>1283</v>
      </c>
      <c r="AL19" t="s">
        <v>1283</v>
      </c>
      <c r="AM19" t="s">
        <v>1047</v>
      </c>
      <c r="AN19" t="s">
        <v>1284</v>
      </c>
      <c r="AO19" t="s">
        <v>1285</v>
      </c>
      <c r="AQ19" t="s">
        <v>1286</v>
      </c>
      <c r="AR19" t="s">
        <v>1286</v>
      </c>
      <c r="AS19" t="s">
        <v>1287</v>
      </c>
      <c r="AU19" t="s">
        <v>1288</v>
      </c>
      <c r="AV19" t="s">
        <v>2124</v>
      </c>
      <c r="AW19" t="s">
        <v>1238</v>
      </c>
      <c r="AZ19" t="s">
        <v>1289</v>
      </c>
      <c r="BC19" t="s">
        <v>988</v>
      </c>
      <c r="BD19" t="s">
        <v>1290</v>
      </c>
      <c r="BL19" t="s">
        <v>1291</v>
      </c>
      <c r="BN19" t="s">
        <v>956</v>
      </c>
    </row>
    <row r="20" spans="11:66">
      <c r="K20" t="s">
        <v>1292</v>
      </c>
      <c r="L20" t="s">
        <v>1293</v>
      </c>
      <c r="M20" t="s">
        <v>1245</v>
      </c>
      <c r="N20" t="s">
        <v>1295</v>
      </c>
      <c r="O20" t="s">
        <v>1807</v>
      </c>
      <c r="Q20">
        <v>18</v>
      </c>
      <c r="V20">
        <v>29</v>
      </c>
      <c r="AD20" t="s">
        <v>1297</v>
      </c>
      <c r="AE20" t="s">
        <v>1298</v>
      </c>
      <c r="AF20" t="s">
        <v>1011</v>
      </c>
      <c r="AI20" t="s">
        <v>1292</v>
      </c>
      <c r="AK20" t="s">
        <v>1298</v>
      </c>
      <c r="AL20" t="s">
        <v>1298</v>
      </c>
      <c r="AM20" t="s">
        <v>1080</v>
      </c>
      <c r="AN20" t="s">
        <v>1299</v>
      </c>
      <c r="AO20" t="s">
        <v>1300</v>
      </c>
      <c r="AQ20" t="s">
        <v>1301</v>
      </c>
      <c r="AR20" t="s">
        <v>1301</v>
      </c>
      <c r="AS20" t="s">
        <v>1302</v>
      </c>
      <c r="AU20" t="s">
        <v>1303</v>
      </c>
      <c r="AV20" t="s">
        <v>2125</v>
      </c>
      <c r="AW20" t="s">
        <v>1257</v>
      </c>
      <c r="AZ20" t="s">
        <v>1304</v>
      </c>
      <c r="BC20" t="s">
        <v>1023</v>
      </c>
      <c r="BD20" t="s">
        <v>110</v>
      </c>
      <c r="BL20" t="s">
        <v>1305</v>
      </c>
      <c r="BN20" t="s">
        <v>998</v>
      </c>
    </row>
    <row r="21" spans="11:66">
      <c r="K21" t="s">
        <v>1306</v>
      </c>
      <c r="L21" t="s">
        <v>1307</v>
      </c>
      <c r="M21" t="s">
        <v>1264</v>
      </c>
      <c r="N21" t="s">
        <v>1309</v>
      </c>
      <c r="O21" t="s">
        <v>1809</v>
      </c>
      <c r="Q21">
        <v>19</v>
      </c>
      <c r="V21">
        <v>30</v>
      </c>
      <c r="AD21" t="s">
        <v>1311</v>
      </c>
      <c r="AE21" t="s">
        <v>1312</v>
      </c>
      <c r="AF21" t="s">
        <v>1313</v>
      </c>
      <c r="AI21" t="s">
        <v>1306</v>
      </c>
      <c r="AK21" t="s">
        <v>1312</v>
      </c>
      <c r="AL21" t="s">
        <v>1312</v>
      </c>
      <c r="AM21" t="s">
        <v>1112</v>
      </c>
      <c r="AN21" t="s">
        <v>1314</v>
      </c>
      <c r="AO21" t="s">
        <v>1315</v>
      </c>
      <c r="AQ21" t="s">
        <v>1316</v>
      </c>
      <c r="AR21" t="s">
        <v>1316</v>
      </c>
      <c r="AS21" t="s">
        <v>1317</v>
      </c>
      <c r="AU21" t="s">
        <v>1318</v>
      </c>
      <c r="AV21" t="s">
        <v>940</v>
      </c>
      <c r="BC21" t="s">
        <v>1059</v>
      </c>
      <c r="BL21" t="s">
        <v>1319</v>
      </c>
      <c r="BN21" t="s">
        <v>1033</v>
      </c>
    </row>
    <row r="22" spans="11:66">
      <c r="K22" t="s">
        <v>1320</v>
      </c>
      <c r="L22" t="s">
        <v>1321</v>
      </c>
      <c r="M22" t="s">
        <v>1279</v>
      </c>
      <c r="N22" t="s">
        <v>1323</v>
      </c>
      <c r="O22" t="s">
        <v>1811</v>
      </c>
      <c r="Q22">
        <v>20</v>
      </c>
      <c r="V22">
        <v>31</v>
      </c>
      <c r="AD22" t="s">
        <v>1325</v>
      </c>
      <c r="AE22" t="s">
        <v>1326</v>
      </c>
      <c r="AF22" t="s">
        <v>75</v>
      </c>
      <c r="AI22" t="s">
        <v>1320</v>
      </c>
      <c r="AK22" t="s">
        <v>1326</v>
      </c>
      <c r="AL22" t="s">
        <v>1326</v>
      </c>
      <c r="AM22" t="s">
        <v>1143</v>
      </c>
      <c r="AN22" t="s">
        <v>1327</v>
      </c>
      <c r="AO22" t="s">
        <v>1328</v>
      </c>
      <c r="AQ22" t="s">
        <v>1329</v>
      </c>
      <c r="AR22" t="s">
        <v>1329</v>
      </c>
      <c r="AS22" t="s">
        <v>1330</v>
      </c>
      <c r="AU22" t="s">
        <v>1331</v>
      </c>
      <c r="AV22" t="s">
        <v>982</v>
      </c>
      <c r="BC22" t="s">
        <v>819</v>
      </c>
      <c r="BN22" t="s">
        <v>1068</v>
      </c>
    </row>
    <row r="23" spans="11:66">
      <c r="K23" t="s">
        <v>1332</v>
      </c>
      <c r="L23" t="s">
        <v>1333</v>
      </c>
      <c r="M23" t="s">
        <v>1294</v>
      </c>
      <c r="N23" t="s">
        <v>1334</v>
      </c>
      <c r="O23" t="s">
        <v>1814</v>
      </c>
      <c r="Q23">
        <v>21</v>
      </c>
      <c r="V23">
        <v>32</v>
      </c>
      <c r="AD23" t="s">
        <v>1336</v>
      </c>
      <c r="AE23" t="s">
        <v>970</v>
      </c>
      <c r="AF23" t="s">
        <v>1269</v>
      </c>
      <c r="AI23" t="s">
        <v>1332</v>
      </c>
      <c r="AK23" t="s">
        <v>970</v>
      </c>
      <c r="AL23" t="s">
        <v>970</v>
      </c>
      <c r="AM23" t="s">
        <v>1313</v>
      </c>
      <c r="AN23" t="s">
        <v>1337</v>
      </c>
      <c r="AO23" t="s">
        <v>1338</v>
      </c>
      <c r="AQ23" t="s">
        <v>1339</v>
      </c>
      <c r="AR23" t="s">
        <v>1339</v>
      </c>
      <c r="AS23" t="s">
        <v>1340</v>
      </c>
      <c r="AV23" t="s">
        <v>1017</v>
      </c>
      <c r="BC23" t="s">
        <v>863</v>
      </c>
      <c r="BN23" t="s">
        <v>1100</v>
      </c>
    </row>
    <row r="24" spans="11:66">
      <c r="K24" t="s">
        <v>1341</v>
      </c>
      <c r="L24" t="s">
        <v>1342</v>
      </c>
      <c r="M24" t="s">
        <v>1308</v>
      </c>
      <c r="N24" t="s">
        <v>1343</v>
      </c>
      <c r="O24" t="s">
        <v>1817</v>
      </c>
      <c r="Q24">
        <v>22</v>
      </c>
      <c r="V24">
        <v>33</v>
      </c>
      <c r="AD24" t="s">
        <v>1344</v>
      </c>
      <c r="AE24" t="s">
        <v>1345</v>
      </c>
      <c r="AF24" t="s">
        <v>1346</v>
      </c>
      <c r="AI24" t="s">
        <v>1341</v>
      </c>
      <c r="AK24" t="s">
        <v>1345</v>
      </c>
      <c r="AL24" t="s">
        <v>1345</v>
      </c>
      <c r="AM24" t="s">
        <v>1347</v>
      </c>
      <c r="AN24" t="s">
        <v>1348</v>
      </c>
      <c r="AO24" t="s">
        <v>1349</v>
      </c>
      <c r="AQ24" t="s">
        <v>1350</v>
      </c>
      <c r="AR24" t="s">
        <v>1350</v>
      </c>
      <c r="AS24" t="s">
        <v>1351</v>
      </c>
      <c r="AV24" t="s">
        <v>1053</v>
      </c>
      <c r="BC24" t="s">
        <v>905</v>
      </c>
      <c r="BN24" t="s">
        <v>1130</v>
      </c>
    </row>
    <row r="25" spans="11:66">
      <c r="K25" t="s">
        <v>1352</v>
      </c>
      <c r="L25" t="s">
        <v>664</v>
      </c>
      <c r="M25" t="s">
        <v>1322</v>
      </c>
      <c r="N25" t="s">
        <v>67</v>
      </c>
      <c r="O25" t="s">
        <v>1105</v>
      </c>
      <c r="Q25">
        <v>23</v>
      </c>
      <c r="V25">
        <v>34</v>
      </c>
      <c r="AD25" t="s">
        <v>1354</v>
      </c>
      <c r="AE25" t="s">
        <v>1355</v>
      </c>
      <c r="AF25" t="s">
        <v>1356</v>
      </c>
      <c r="AI25" t="s">
        <v>1352</v>
      </c>
      <c r="AK25" t="s">
        <v>1355</v>
      </c>
      <c r="AL25" t="s">
        <v>1355</v>
      </c>
      <c r="AM25" t="s">
        <v>1357</v>
      </c>
      <c r="AN25" t="s">
        <v>1358</v>
      </c>
      <c r="AO25" t="s">
        <v>1359</v>
      </c>
      <c r="AQ25" t="s">
        <v>1360</v>
      </c>
      <c r="AR25" t="s">
        <v>1360</v>
      </c>
      <c r="AS25" t="s">
        <v>1361</v>
      </c>
      <c r="AV25" t="s">
        <v>1087</v>
      </c>
      <c r="BC25" t="s">
        <v>947</v>
      </c>
    </row>
    <row r="26" spans="11:66">
      <c r="K26" t="s">
        <v>1362</v>
      </c>
      <c r="L26" t="s">
        <v>1363</v>
      </c>
      <c r="N26" t="s">
        <v>1364</v>
      </c>
      <c r="O26" t="s">
        <v>1819</v>
      </c>
      <c r="Q26">
        <v>24</v>
      </c>
      <c r="V26">
        <v>35</v>
      </c>
      <c r="AD26" t="s">
        <v>1366</v>
      </c>
      <c r="AE26" t="s">
        <v>1367</v>
      </c>
      <c r="AF26" t="s">
        <v>1337</v>
      </c>
      <c r="AI26" t="s">
        <v>1362</v>
      </c>
      <c r="AK26" t="s">
        <v>1367</v>
      </c>
      <c r="AL26" t="s">
        <v>1367</v>
      </c>
      <c r="AM26" t="s">
        <v>1368</v>
      </c>
      <c r="AN26" t="s">
        <v>1369</v>
      </c>
      <c r="AO26" t="s">
        <v>1370</v>
      </c>
      <c r="AQ26" t="s">
        <v>1371</v>
      </c>
      <c r="AR26" t="s">
        <v>1371</v>
      </c>
      <c r="AS26" t="s">
        <v>1372</v>
      </c>
      <c r="AV26" t="s">
        <v>1119</v>
      </c>
      <c r="BC26" t="s">
        <v>989</v>
      </c>
    </row>
    <row r="27" spans="11:66">
      <c r="K27" t="s">
        <v>1373</v>
      </c>
      <c r="L27" t="s">
        <v>1374</v>
      </c>
      <c r="N27" t="s">
        <v>1375</v>
      </c>
      <c r="O27" t="s">
        <v>1136</v>
      </c>
      <c r="Q27">
        <v>25</v>
      </c>
      <c r="V27">
        <v>36</v>
      </c>
      <c r="AD27" t="s">
        <v>1377</v>
      </c>
      <c r="AE27" t="s">
        <v>1378</v>
      </c>
      <c r="AF27" t="s">
        <v>1379</v>
      </c>
      <c r="AI27" t="s">
        <v>1373</v>
      </c>
      <c r="AK27" t="s">
        <v>1378</v>
      </c>
      <c r="AL27" t="s">
        <v>1378</v>
      </c>
      <c r="AM27" t="s">
        <v>1380</v>
      </c>
      <c r="AN27" t="s">
        <v>1381</v>
      </c>
      <c r="AO27" t="s">
        <v>1382</v>
      </c>
      <c r="AQ27" t="s">
        <v>1383</v>
      </c>
      <c r="AR27" t="s">
        <v>1383</v>
      </c>
      <c r="AS27" t="s">
        <v>1384</v>
      </c>
      <c r="AV27" t="s">
        <v>1150</v>
      </c>
      <c r="BC27" t="s">
        <v>1024</v>
      </c>
    </row>
    <row r="28" spans="11:66">
      <c r="K28" t="s">
        <v>1385</v>
      </c>
      <c r="L28" t="s">
        <v>1386</v>
      </c>
      <c r="N28" t="s">
        <v>1387</v>
      </c>
      <c r="O28" t="s">
        <v>134</v>
      </c>
      <c r="Q28">
        <v>26</v>
      </c>
      <c r="V28">
        <v>37</v>
      </c>
      <c r="AD28" t="s">
        <v>1388</v>
      </c>
      <c r="AE28" t="s">
        <v>88</v>
      </c>
      <c r="AF28" t="s">
        <v>1389</v>
      </c>
      <c r="AI28" t="s">
        <v>1385</v>
      </c>
      <c r="AK28" t="s">
        <v>88</v>
      </c>
      <c r="AL28" t="s">
        <v>88</v>
      </c>
      <c r="AM28" t="s">
        <v>75</v>
      </c>
      <c r="AN28" t="s">
        <v>1379</v>
      </c>
      <c r="AO28" t="s">
        <v>1390</v>
      </c>
      <c r="AQ28" t="s">
        <v>1391</v>
      </c>
      <c r="AS28" t="s">
        <v>1392</v>
      </c>
      <c r="AV28" t="s">
        <v>1174</v>
      </c>
      <c r="BC28" t="s">
        <v>1060</v>
      </c>
    </row>
    <row r="29" spans="11:66">
      <c r="K29" t="s">
        <v>1393</v>
      </c>
      <c r="L29" t="s">
        <v>1394</v>
      </c>
      <c r="O29" t="s">
        <v>1185</v>
      </c>
      <c r="Q29">
        <v>27</v>
      </c>
      <c r="V29">
        <v>38</v>
      </c>
      <c r="AD29" t="s">
        <v>1395</v>
      </c>
      <c r="AE29" t="s">
        <v>1396</v>
      </c>
      <c r="AF29" t="s">
        <v>1397</v>
      </c>
      <c r="AI29" t="s">
        <v>1393</v>
      </c>
      <c r="AK29" t="s">
        <v>1396</v>
      </c>
      <c r="AL29" t="s">
        <v>1396</v>
      </c>
      <c r="AM29" t="s">
        <v>1190</v>
      </c>
      <c r="AN29" t="s">
        <v>1398</v>
      </c>
      <c r="AO29" t="s">
        <v>1399</v>
      </c>
      <c r="AQ29" t="s">
        <v>1400</v>
      </c>
      <c r="AS29" t="s">
        <v>1401</v>
      </c>
      <c r="AV29" t="s">
        <v>1197</v>
      </c>
      <c r="BC29" t="s">
        <v>1093</v>
      </c>
    </row>
    <row r="30" spans="11:66">
      <c r="K30" t="s">
        <v>1402</v>
      </c>
      <c r="L30" t="s">
        <v>1403</v>
      </c>
      <c r="O30" t="s">
        <v>1135</v>
      </c>
      <c r="Q30">
        <v>28</v>
      </c>
      <c r="V30">
        <v>39</v>
      </c>
      <c r="AD30" t="s">
        <v>1405</v>
      </c>
      <c r="AE30" t="s">
        <v>1406</v>
      </c>
      <c r="AF30" t="s">
        <v>1407</v>
      </c>
      <c r="AI30" t="s">
        <v>1402</v>
      </c>
      <c r="AK30" t="s">
        <v>1406</v>
      </c>
      <c r="AL30" t="s">
        <v>1406</v>
      </c>
      <c r="AM30" t="s">
        <v>1212</v>
      </c>
      <c r="AN30" t="s">
        <v>1408</v>
      </c>
      <c r="AO30" t="s">
        <v>1409</v>
      </c>
      <c r="AQ30" t="s">
        <v>1410</v>
      </c>
      <c r="AS30" t="s">
        <v>1411</v>
      </c>
      <c r="AV30" t="s">
        <v>1218</v>
      </c>
      <c r="BC30" t="s">
        <v>1125</v>
      </c>
    </row>
    <row r="31" spans="11:66">
      <c r="K31" t="s">
        <v>1413</v>
      </c>
      <c r="L31" t="s">
        <v>1414</v>
      </c>
      <c r="O31" t="s">
        <v>1822</v>
      </c>
      <c r="Q31">
        <v>29</v>
      </c>
      <c r="V31" t="s">
        <v>1416</v>
      </c>
      <c r="AD31" t="s">
        <v>1417</v>
      </c>
      <c r="AE31" t="s">
        <v>1418</v>
      </c>
      <c r="AF31" t="s">
        <v>1419</v>
      </c>
      <c r="AI31" t="s">
        <v>1413</v>
      </c>
      <c r="AK31" t="s">
        <v>1418</v>
      </c>
      <c r="AL31" t="s">
        <v>1418</v>
      </c>
      <c r="AM31" t="s">
        <v>1232</v>
      </c>
      <c r="AN31" t="s">
        <v>1420</v>
      </c>
      <c r="AO31" t="s">
        <v>1421</v>
      </c>
      <c r="AQ31" t="s">
        <v>1422</v>
      </c>
      <c r="AS31" t="s">
        <v>1423</v>
      </c>
      <c r="AV31" t="s">
        <v>1238</v>
      </c>
      <c r="BC31" t="s">
        <v>820</v>
      </c>
    </row>
    <row r="32" spans="11:66">
      <c r="K32" t="s">
        <v>1425</v>
      </c>
      <c r="L32" t="s">
        <v>1426</v>
      </c>
      <c r="O32" t="s">
        <v>2116</v>
      </c>
      <c r="Q32">
        <v>30</v>
      </c>
      <c r="V32" t="s">
        <v>1428</v>
      </c>
      <c r="AD32" t="s">
        <v>1429</v>
      </c>
      <c r="AE32" t="s">
        <v>1430</v>
      </c>
      <c r="AF32" t="s">
        <v>1431</v>
      </c>
      <c r="AI32" t="s">
        <v>1425</v>
      </c>
      <c r="AK32" t="s">
        <v>1430</v>
      </c>
      <c r="AL32" t="s">
        <v>1430</v>
      </c>
      <c r="AM32" t="s">
        <v>1251</v>
      </c>
      <c r="AN32" t="s">
        <v>1432</v>
      </c>
      <c r="AO32" t="s">
        <v>1433</v>
      </c>
      <c r="AQ32" t="s">
        <v>1434</v>
      </c>
      <c r="AS32" t="s">
        <v>1435</v>
      </c>
      <c r="AV32" t="s">
        <v>1257</v>
      </c>
      <c r="BC32" t="s">
        <v>864</v>
      </c>
    </row>
    <row r="33" spans="11:55">
      <c r="K33" t="s">
        <v>1437</v>
      </c>
      <c r="O33" t="s">
        <v>2119</v>
      </c>
      <c r="Q33">
        <v>31</v>
      </c>
      <c r="V33" t="s">
        <v>1438</v>
      </c>
      <c r="AD33" t="s">
        <v>1439</v>
      </c>
      <c r="AE33" t="s">
        <v>1043</v>
      </c>
      <c r="AF33" t="s">
        <v>1440</v>
      </c>
      <c r="AI33" t="s">
        <v>1437</v>
      </c>
      <c r="AK33" t="s">
        <v>1043</v>
      </c>
      <c r="AL33" t="s">
        <v>1043</v>
      </c>
      <c r="AM33" t="s">
        <v>1269</v>
      </c>
      <c r="AN33" t="s">
        <v>1389</v>
      </c>
      <c r="AO33" t="s">
        <v>1441</v>
      </c>
      <c r="AQ33" t="s">
        <v>809</v>
      </c>
      <c r="AV33" t="s">
        <v>1412</v>
      </c>
      <c r="BC33" t="s">
        <v>906</v>
      </c>
    </row>
    <row r="34" spans="11:55">
      <c r="K34" t="s">
        <v>1442</v>
      </c>
      <c r="O34" t="s">
        <v>1227</v>
      </c>
      <c r="Q34">
        <v>32</v>
      </c>
      <c r="V34" t="s">
        <v>1443</v>
      </c>
      <c r="AD34" t="s">
        <v>1444</v>
      </c>
      <c r="AE34" t="s">
        <v>1445</v>
      </c>
      <c r="AF34" t="s">
        <v>77</v>
      </c>
      <c r="AI34" t="s">
        <v>1442</v>
      </c>
      <c r="AK34" t="s">
        <v>1445</v>
      </c>
      <c r="AL34" t="s">
        <v>1445</v>
      </c>
      <c r="AM34" t="s">
        <v>1284</v>
      </c>
      <c r="AN34" t="s">
        <v>1446</v>
      </c>
      <c r="AO34" t="s">
        <v>1447</v>
      </c>
      <c r="AQ34" t="s">
        <v>853</v>
      </c>
      <c r="AV34" t="s">
        <v>1424</v>
      </c>
      <c r="BC34" t="s">
        <v>948</v>
      </c>
    </row>
    <row r="35" spans="11:55">
      <c r="K35" t="s">
        <v>1448</v>
      </c>
      <c r="O35" t="s">
        <v>1247</v>
      </c>
      <c r="Q35">
        <v>33</v>
      </c>
      <c r="V35" t="s">
        <v>1450</v>
      </c>
      <c r="AD35" t="s">
        <v>1451</v>
      </c>
      <c r="AE35" t="s">
        <v>1452</v>
      </c>
      <c r="AF35" t="s">
        <v>1453</v>
      </c>
      <c r="AI35" t="s">
        <v>1448</v>
      </c>
      <c r="AK35" t="s">
        <v>1452</v>
      </c>
      <c r="AL35" t="s">
        <v>1452</v>
      </c>
      <c r="AM35" t="s">
        <v>1299</v>
      </c>
      <c r="AN35" t="s">
        <v>1454</v>
      </c>
      <c r="AO35" t="s">
        <v>1455</v>
      </c>
      <c r="AQ35" t="s">
        <v>894</v>
      </c>
      <c r="AV35" t="s">
        <v>1436</v>
      </c>
      <c r="BC35" t="s">
        <v>990</v>
      </c>
    </row>
    <row r="36" spans="11:55">
      <c r="K36" t="s">
        <v>1456</v>
      </c>
      <c r="O36" t="s">
        <v>1825</v>
      </c>
      <c r="Q36">
        <v>34</v>
      </c>
      <c r="V36" t="s">
        <v>1458</v>
      </c>
      <c r="AD36" t="s">
        <v>1459</v>
      </c>
      <c r="AE36" t="s">
        <v>1460</v>
      </c>
      <c r="AF36" t="s">
        <v>1461</v>
      </c>
      <c r="AI36" t="s">
        <v>1456</v>
      </c>
      <c r="AK36" t="s">
        <v>1460</v>
      </c>
      <c r="AL36" t="s">
        <v>1460</v>
      </c>
      <c r="AM36" t="s">
        <v>1314</v>
      </c>
      <c r="AN36" t="s">
        <v>1462</v>
      </c>
      <c r="AO36" t="s">
        <v>1463</v>
      </c>
      <c r="AQ36" t="s">
        <v>936</v>
      </c>
      <c r="AV36" t="s">
        <v>813</v>
      </c>
      <c r="BC36" t="s">
        <v>1025</v>
      </c>
    </row>
    <row r="37" spans="11:55">
      <c r="K37" t="s">
        <v>1464</v>
      </c>
      <c r="O37" t="s">
        <v>1266</v>
      </c>
      <c r="Q37">
        <v>35</v>
      </c>
      <c r="V37" t="s">
        <v>1465</v>
      </c>
      <c r="AD37" t="s">
        <v>1466</v>
      </c>
      <c r="AE37" t="s">
        <v>1467</v>
      </c>
      <c r="AF37" t="s">
        <v>806</v>
      </c>
      <c r="AI37" t="s">
        <v>1464</v>
      </c>
      <c r="AK37" t="s">
        <v>1467</v>
      </c>
      <c r="AL37" t="s">
        <v>1467</v>
      </c>
      <c r="AM37" t="s">
        <v>1327</v>
      </c>
      <c r="AN37" t="s">
        <v>1468</v>
      </c>
      <c r="AO37" t="s">
        <v>1469</v>
      </c>
      <c r="AQ37" t="s">
        <v>978</v>
      </c>
      <c r="AV37" t="s">
        <v>858</v>
      </c>
      <c r="BC37" t="s">
        <v>1061</v>
      </c>
    </row>
    <row r="38" spans="11:55">
      <c r="K38" t="s">
        <v>1470</v>
      </c>
      <c r="O38" t="s">
        <v>1827</v>
      </c>
      <c r="Q38">
        <v>36</v>
      </c>
      <c r="V38" t="s">
        <v>1472</v>
      </c>
      <c r="AD38" t="s">
        <v>1473</v>
      </c>
      <c r="AE38" t="s">
        <v>1077</v>
      </c>
      <c r="AF38" t="s">
        <v>1012</v>
      </c>
      <c r="AI38" t="s">
        <v>1470</v>
      </c>
      <c r="AK38" t="s">
        <v>1077</v>
      </c>
      <c r="AL38" t="s">
        <v>1077</v>
      </c>
      <c r="AM38" t="s">
        <v>1346</v>
      </c>
      <c r="AO38" t="s">
        <v>1474</v>
      </c>
      <c r="AQ38" t="s">
        <v>81</v>
      </c>
      <c r="AV38" t="s">
        <v>899</v>
      </c>
      <c r="BC38" t="s">
        <v>821</v>
      </c>
    </row>
    <row r="39" spans="11:55">
      <c r="K39" t="s">
        <v>1475</v>
      </c>
      <c r="O39" t="s">
        <v>1281</v>
      </c>
      <c r="Q39">
        <v>37</v>
      </c>
      <c r="V39" t="s">
        <v>1477</v>
      </c>
      <c r="AD39" t="s">
        <v>1478</v>
      </c>
      <c r="AE39" t="s">
        <v>1479</v>
      </c>
      <c r="AF39" t="s">
        <v>1168</v>
      </c>
      <c r="AI39" t="s">
        <v>1475</v>
      </c>
      <c r="AK39" t="s">
        <v>1479</v>
      </c>
      <c r="AL39" t="s">
        <v>1479</v>
      </c>
      <c r="AM39" t="s">
        <v>1480</v>
      </c>
      <c r="AO39" t="s">
        <v>1481</v>
      </c>
      <c r="AQ39" t="s">
        <v>1050</v>
      </c>
      <c r="AV39" t="s">
        <v>941</v>
      </c>
      <c r="BC39" t="s">
        <v>865</v>
      </c>
    </row>
    <row r="40" spans="11:55">
      <c r="K40" t="s">
        <v>1482</v>
      </c>
      <c r="O40" t="s">
        <v>1296</v>
      </c>
      <c r="Q40">
        <v>38</v>
      </c>
      <c r="V40" t="s">
        <v>1483</v>
      </c>
      <c r="AD40" t="s">
        <v>1484</v>
      </c>
      <c r="AE40" t="s">
        <v>1485</v>
      </c>
      <c r="AF40" t="s">
        <v>1270</v>
      </c>
      <c r="AI40" t="s">
        <v>1482</v>
      </c>
      <c r="AK40" t="s">
        <v>1485</v>
      </c>
      <c r="AL40" t="s">
        <v>1485</v>
      </c>
      <c r="AM40" t="s">
        <v>1486</v>
      </c>
      <c r="AO40" t="s">
        <v>1487</v>
      </c>
      <c r="AQ40" t="s">
        <v>1084</v>
      </c>
      <c r="AV40" t="s">
        <v>983</v>
      </c>
      <c r="BC40" t="s">
        <v>907</v>
      </c>
    </row>
    <row r="41" spans="11:55">
      <c r="K41" t="s">
        <v>1488</v>
      </c>
      <c r="O41" t="s">
        <v>1831</v>
      </c>
      <c r="Q41">
        <v>39</v>
      </c>
      <c r="V41" t="s">
        <v>1490</v>
      </c>
      <c r="AD41" t="s">
        <v>1491</v>
      </c>
      <c r="AE41" t="s">
        <v>1492</v>
      </c>
      <c r="AF41" t="s">
        <v>1338</v>
      </c>
      <c r="AI41" t="s">
        <v>1488</v>
      </c>
      <c r="AK41" t="s">
        <v>1492</v>
      </c>
      <c r="AL41" t="s">
        <v>1492</v>
      </c>
      <c r="AM41" t="s">
        <v>1493</v>
      </c>
      <c r="AO41" t="s">
        <v>1494</v>
      </c>
      <c r="AQ41" t="s">
        <v>1116</v>
      </c>
      <c r="AV41" t="s">
        <v>1018</v>
      </c>
      <c r="BC41" t="s">
        <v>949</v>
      </c>
    </row>
    <row r="42" spans="11:55">
      <c r="K42" t="s">
        <v>1375</v>
      </c>
      <c r="O42" t="s">
        <v>1310</v>
      </c>
      <c r="Q42">
        <v>40</v>
      </c>
      <c r="V42" t="s">
        <v>1495</v>
      </c>
      <c r="AD42" t="s">
        <v>1496</v>
      </c>
      <c r="AE42" t="s">
        <v>1497</v>
      </c>
      <c r="AF42" t="s">
        <v>1390</v>
      </c>
      <c r="AI42" t="s">
        <v>1375</v>
      </c>
      <c r="AK42" t="s">
        <v>1497</v>
      </c>
      <c r="AL42" t="s">
        <v>1497</v>
      </c>
      <c r="AM42" t="s">
        <v>1498</v>
      </c>
      <c r="AO42" t="s">
        <v>1499</v>
      </c>
      <c r="AQ42" t="s">
        <v>1147</v>
      </c>
      <c r="AV42" t="s">
        <v>1054</v>
      </c>
      <c r="BC42" t="s">
        <v>991</v>
      </c>
    </row>
    <row r="43" spans="11:55">
      <c r="K43" t="s">
        <v>1364</v>
      </c>
      <c r="O43" t="s">
        <v>1834</v>
      </c>
      <c r="Q43">
        <v>41</v>
      </c>
      <c r="V43" t="s">
        <v>1502</v>
      </c>
      <c r="AD43" t="s">
        <v>1503</v>
      </c>
      <c r="AE43" t="s">
        <v>1108</v>
      </c>
      <c r="AF43" t="s">
        <v>1441</v>
      </c>
      <c r="AI43" t="s">
        <v>1364</v>
      </c>
      <c r="AK43" t="s">
        <v>1108</v>
      </c>
      <c r="AL43" t="s">
        <v>1108</v>
      </c>
      <c r="AM43" t="s">
        <v>1356</v>
      </c>
      <c r="AO43" t="s">
        <v>1504</v>
      </c>
      <c r="AQ43" t="s">
        <v>1171</v>
      </c>
      <c r="AV43" t="s">
        <v>1088</v>
      </c>
      <c r="BC43" t="s">
        <v>1026</v>
      </c>
    </row>
    <row r="44" spans="11:55">
      <c r="K44" t="s">
        <v>1506</v>
      </c>
      <c r="O44" t="s">
        <v>1324</v>
      </c>
      <c r="Q44">
        <v>42</v>
      </c>
      <c r="V44" t="s">
        <v>1508</v>
      </c>
      <c r="AD44" t="s">
        <v>1509</v>
      </c>
      <c r="AE44" t="s">
        <v>1510</v>
      </c>
      <c r="AF44" t="s">
        <v>1474</v>
      </c>
      <c r="AI44" t="s">
        <v>1506</v>
      </c>
      <c r="AK44" t="s">
        <v>1510</v>
      </c>
      <c r="AL44" t="s">
        <v>1510</v>
      </c>
      <c r="AM44" t="s">
        <v>1511</v>
      </c>
      <c r="AO44" t="s">
        <v>1512</v>
      </c>
      <c r="AQ44" t="s">
        <v>1194</v>
      </c>
      <c r="AV44" t="s">
        <v>1120</v>
      </c>
      <c r="BC44" t="s">
        <v>1062</v>
      </c>
    </row>
    <row r="45" spans="11:55">
      <c r="K45" t="s">
        <v>64</v>
      </c>
      <c r="O45" t="s">
        <v>1835</v>
      </c>
      <c r="Q45">
        <v>43</v>
      </c>
      <c r="V45" t="s">
        <v>1515</v>
      </c>
      <c r="AD45" t="s">
        <v>1516</v>
      </c>
      <c r="AE45" t="s">
        <v>1517</v>
      </c>
      <c r="AF45" t="s">
        <v>1504</v>
      </c>
      <c r="AI45" t="s">
        <v>64</v>
      </c>
      <c r="AK45" t="s">
        <v>1517</v>
      </c>
      <c r="AL45" t="s">
        <v>1517</v>
      </c>
      <c r="AM45" t="s">
        <v>1518</v>
      </c>
      <c r="AO45" t="s">
        <v>1519</v>
      </c>
      <c r="AQ45" t="s">
        <v>1216</v>
      </c>
      <c r="AV45" t="s">
        <v>1500</v>
      </c>
      <c r="BC45" t="s">
        <v>1095</v>
      </c>
    </row>
    <row r="46" spans="11:55">
      <c r="K46" t="s">
        <v>1520</v>
      </c>
      <c r="O46" t="s">
        <v>1837</v>
      </c>
      <c r="Q46">
        <v>44</v>
      </c>
      <c r="V46" t="s">
        <v>1521</v>
      </c>
      <c r="AD46" t="s">
        <v>50</v>
      </c>
      <c r="AE46" t="s">
        <v>1522</v>
      </c>
      <c r="AF46" t="s">
        <v>1523</v>
      </c>
      <c r="AI46" t="s">
        <v>1520</v>
      </c>
      <c r="AK46" t="s">
        <v>1522</v>
      </c>
      <c r="AL46" t="s">
        <v>1522</v>
      </c>
      <c r="AM46" t="s">
        <v>1524</v>
      </c>
      <c r="AO46" t="s">
        <v>1525</v>
      </c>
      <c r="AQ46" t="s">
        <v>1236</v>
      </c>
      <c r="AV46" t="s">
        <v>1505</v>
      </c>
      <c r="BC46" t="s">
        <v>1126</v>
      </c>
    </row>
    <row r="47" spans="11:55">
      <c r="K47" t="s">
        <v>1526</v>
      </c>
      <c r="O47" t="s">
        <v>1335</v>
      </c>
      <c r="Q47">
        <v>45</v>
      </c>
      <c r="V47" t="s">
        <v>1527</v>
      </c>
      <c r="AD47" t="s">
        <v>1528</v>
      </c>
      <c r="AE47" t="s">
        <v>1529</v>
      </c>
      <c r="AF47" t="s">
        <v>807</v>
      </c>
      <c r="AI47" t="s">
        <v>1526</v>
      </c>
      <c r="AK47" t="s">
        <v>1529</v>
      </c>
      <c r="AL47" t="s">
        <v>1529</v>
      </c>
      <c r="AM47" t="s">
        <v>1530</v>
      </c>
      <c r="AO47" t="s">
        <v>1531</v>
      </c>
      <c r="AQ47" t="s">
        <v>1255</v>
      </c>
      <c r="AV47" t="s">
        <v>1513</v>
      </c>
      <c r="BC47" t="s">
        <v>1155</v>
      </c>
    </row>
    <row r="48" spans="11:55">
      <c r="K48" t="s">
        <v>1532</v>
      </c>
      <c r="O48" t="s">
        <v>887</v>
      </c>
      <c r="Q48">
        <v>46</v>
      </c>
      <c r="V48" t="s">
        <v>1533</v>
      </c>
      <c r="AD48" t="s">
        <v>1534</v>
      </c>
      <c r="AE48" t="s">
        <v>1139</v>
      </c>
      <c r="AF48" t="s">
        <v>1013</v>
      </c>
      <c r="AI48" t="s">
        <v>1532</v>
      </c>
      <c r="AK48" t="s">
        <v>1139</v>
      </c>
      <c r="AL48" t="s">
        <v>1139</v>
      </c>
      <c r="AM48" t="s">
        <v>1337</v>
      </c>
      <c r="AQ48" t="s">
        <v>1272</v>
      </c>
      <c r="AV48" t="s">
        <v>814</v>
      </c>
      <c r="BC48" t="s">
        <v>822</v>
      </c>
    </row>
    <row r="49" spans="11:55">
      <c r="K49" t="s">
        <v>915</v>
      </c>
      <c r="O49" t="s">
        <v>1841</v>
      </c>
      <c r="Q49">
        <v>47</v>
      </c>
      <c r="V49" t="s">
        <v>1536</v>
      </c>
      <c r="AD49" t="s">
        <v>1537</v>
      </c>
      <c r="AE49" t="s">
        <v>1538</v>
      </c>
      <c r="AF49" t="s">
        <v>1169</v>
      </c>
      <c r="AI49" t="s">
        <v>915</v>
      </c>
      <c r="AK49" t="s">
        <v>1538</v>
      </c>
      <c r="AL49" t="s">
        <v>1538</v>
      </c>
      <c r="AM49" t="s">
        <v>1348</v>
      </c>
      <c r="AQ49" t="s">
        <v>1287</v>
      </c>
      <c r="AV49" t="s">
        <v>859</v>
      </c>
      <c r="BC49" t="s">
        <v>866</v>
      </c>
    </row>
    <row r="50" spans="11:55">
      <c r="K50" t="s">
        <v>1539</v>
      </c>
      <c r="O50" t="s">
        <v>1353</v>
      </c>
      <c r="Q50">
        <v>48</v>
      </c>
      <c r="AD50" t="s">
        <v>1541</v>
      </c>
      <c r="AE50" t="s">
        <v>1542</v>
      </c>
      <c r="AF50" t="s">
        <v>808</v>
      </c>
      <c r="AI50" t="s">
        <v>1539</v>
      </c>
      <c r="AK50" t="s">
        <v>1542</v>
      </c>
      <c r="AL50" t="s">
        <v>1542</v>
      </c>
      <c r="AM50" t="s">
        <v>1358</v>
      </c>
      <c r="AQ50" t="s">
        <v>1302</v>
      </c>
      <c r="AV50" t="s">
        <v>900</v>
      </c>
      <c r="BC50" t="s">
        <v>908</v>
      </c>
    </row>
    <row r="51" spans="11:55">
      <c r="K51" t="s">
        <v>1543</v>
      </c>
      <c r="O51" t="s">
        <v>2134</v>
      </c>
      <c r="Q51">
        <v>49</v>
      </c>
      <c r="AD51" t="s">
        <v>1544</v>
      </c>
      <c r="AE51" t="s">
        <v>1545</v>
      </c>
      <c r="AF51" t="s">
        <v>1014</v>
      </c>
      <c r="AI51" t="s">
        <v>1543</v>
      </c>
      <c r="AK51" t="s">
        <v>1545</v>
      </c>
      <c r="AL51" t="s">
        <v>1545</v>
      </c>
      <c r="AM51" t="s">
        <v>1369</v>
      </c>
      <c r="AQ51" t="s">
        <v>1317</v>
      </c>
      <c r="AV51" t="s">
        <v>942</v>
      </c>
      <c r="BC51" t="s">
        <v>950</v>
      </c>
    </row>
    <row r="52" spans="11:55">
      <c r="K52" t="s">
        <v>1546</v>
      </c>
      <c r="O52" t="s">
        <v>1365</v>
      </c>
      <c r="Q52">
        <v>50</v>
      </c>
      <c r="AD52" t="s">
        <v>1548</v>
      </c>
      <c r="AE52" t="s">
        <v>1549</v>
      </c>
      <c r="AF52" t="s">
        <v>1170</v>
      </c>
      <c r="AI52" t="s">
        <v>1546</v>
      </c>
      <c r="AK52" t="s">
        <v>1549</v>
      </c>
      <c r="AL52" t="s">
        <v>1549</v>
      </c>
      <c r="AM52" t="s">
        <v>1381</v>
      </c>
      <c r="AQ52" t="s">
        <v>1330</v>
      </c>
      <c r="AV52" t="s">
        <v>984</v>
      </c>
      <c r="BC52" t="s">
        <v>992</v>
      </c>
    </row>
    <row r="53" spans="11:55">
      <c r="O53" t="s">
        <v>1376</v>
      </c>
      <c r="Q53">
        <v>51</v>
      </c>
      <c r="AD53" t="s">
        <v>1551</v>
      </c>
      <c r="AE53" t="s">
        <v>1165</v>
      </c>
      <c r="AF53" t="s">
        <v>1271</v>
      </c>
      <c r="AI53" t="s">
        <v>794</v>
      </c>
      <c r="AK53" t="s">
        <v>1165</v>
      </c>
      <c r="AL53" t="s">
        <v>1165</v>
      </c>
      <c r="AM53" t="s">
        <v>1379</v>
      </c>
      <c r="AQ53" t="s">
        <v>1340</v>
      </c>
      <c r="AV53" t="s">
        <v>1019</v>
      </c>
      <c r="BC53" t="s">
        <v>1027</v>
      </c>
    </row>
    <row r="54" spans="11:55">
      <c r="O54" t="s">
        <v>1847</v>
      </c>
      <c r="Q54">
        <v>52</v>
      </c>
      <c r="AD54" t="s">
        <v>1552</v>
      </c>
      <c r="AE54" t="s">
        <v>1553</v>
      </c>
      <c r="AF54" t="s">
        <v>1339</v>
      </c>
      <c r="AI54" t="s">
        <v>835</v>
      </c>
      <c r="AK54" t="s">
        <v>1553</v>
      </c>
      <c r="AL54" t="s">
        <v>1553</v>
      </c>
      <c r="AM54" t="s">
        <v>1398</v>
      </c>
      <c r="AQ54" t="s">
        <v>1351</v>
      </c>
      <c r="AV54" t="s">
        <v>1055</v>
      </c>
      <c r="BC54" t="s">
        <v>1063</v>
      </c>
    </row>
    <row r="55" spans="11:55">
      <c r="O55" t="s">
        <v>929</v>
      </c>
      <c r="Q55">
        <v>53</v>
      </c>
      <c r="AD55" t="s">
        <v>1555</v>
      </c>
      <c r="AE55" t="s">
        <v>1556</v>
      </c>
      <c r="AF55" t="s">
        <v>1391</v>
      </c>
      <c r="AI55" t="s">
        <v>880</v>
      </c>
      <c r="AK55" t="s">
        <v>1556</v>
      </c>
      <c r="AL55" t="s">
        <v>1556</v>
      </c>
      <c r="AM55" t="s">
        <v>1408</v>
      </c>
      <c r="AQ55" t="s">
        <v>1361</v>
      </c>
      <c r="AV55" t="s">
        <v>1089</v>
      </c>
      <c r="BC55" t="s">
        <v>1096</v>
      </c>
    </row>
    <row r="56" spans="11:55">
      <c r="O56" t="s">
        <v>1404</v>
      </c>
      <c r="Q56">
        <v>54</v>
      </c>
      <c r="AD56" t="s">
        <v>1558</v>
      </c>
      <c r="AE56" t="s">
        <v>1559</v>
      </c>
      <c r="AF56" t="s">
        <v>809</v>
      </c>
      <c r="AI56" t="s">
        <v>922</v>
      </c>
      <c r="AK56" t="s">
        <v>1559</v>
      </c>
      <c r="AL56" t="s">
        <v>1559</v>
      </c>
      <c r="AM56" t="s">
        <v>1420</v>
      </c>
      <c r="AQ56" t="s">
        <v>1372</v>
      </c>
      <c r="AV56" t="s">
        <v>1121</v>
      </c>
      <c r="BC56" t="s">
        <v>823</v>
      </c>
    </row>
    <row r="57" spans="11:55">
      <c r="O57" t="s">
        <v>1415</v>
      </c>
      <c r="Q57">
        <v>55</v>
      </c>
      <c r="AD57" t="s">
        <v>1561</v>
      </c>
      <c r="AE57" t="s">
        <v>1562</v>
      </c>
      <c r="AF57" t="s">
        <v>81</v>
      </c>
      <c r="AI57" t="s">
        <v>963</v>
      </c>
      <c r="AK57" t="s">
        <v>1562</v>
      </c>
      <c r="AL57" t="s">
        <v>1562</v>
      </c>
      <c r="AM57" t="s">
        <v>1432</v>
      </c>
      <c r="AQ57" t="s">
        <v>1384</v>
      </c>
      <c r="AV57" t="s">
        <v>1151</v>
      </c>
      <c r="BC57" t="s">
        <v>867</v>
      </c>
    </row>
    <row r="58" spans="11:55">
      <c r="O58" t="s">
        <v>1427</v>
      </c>
      <c r="Q58">
        <v>56</v>
      </c>
      <c r="AD58" t="s">
        <v>1563</v>
      </c>
      <c r="AE58" t="s">
        <v>1188</v>
      </c>
      <c r="AF58" t="s">
        <v>1171</v>
      </c>
      <c r="AI58" t="s">
        <v>1002</v>
      </c>
      <c r="AK58" t="s">
        <v>1188</v>
      </c>
      <c r="AL58" t="s">
        <v>1188</v>
      </c>
      <c r="AM58" t="s">
        <v>1389</v>
      </c>
      <c r="AQ58" t="s">
        <v>1392</v>
      </c>
      <c r="AV58" t="s">
        <v>1175</v>
      </c>
      <c r="BC58" t="s">
        <v>909</v>
      </c>
    </row>
    <row r="59" spans="11:55">
      <c r="O59" t="s">
        <v>1848</v>
      </c>
      <c r="Q59">
        <v>57</v>
      </c>
      <c r="AD59" t="s">
        <v>1565</v>
      </c>
      <c r="AE59" t="s">
        <v>1566</v>
      </c>
      <c r="AF59" t="s">
        <v>1272</v>
      </c>
      <c r="AI59" t="s">
        <v>1038</v>
      </c>
      <c r="AK59" t="s">
        <v>1566</v>
      </c>
      <c r="AL59" t="s">
        <v>1566</v>
      </c>
      <c r="AM59" t="s">
        <v>1446</v>
      </c>
      <c r="AQ59" t="s">
        <v>1401</v>
      </c>
      <c r="AV59" t="s">
        <v>1198</v>
      </c>
      <c r="BC59" t="s">
        <v>951</v>
      </c>
    </row>
    <row r="60" spans="11:55">
      <c r="O60" t="s">
        <v>846</v>
      </c>
      <c r="Q60">
        <v>58</v>
      </c>
      <c r="AD60" t="s">
        <v>1568</v>
      </c>
      <c r="AE60" t="s">
        <v>1569</v>
      </c>
      <c r="AF60" t="s">
        <v>1340</v>
      </c>
      <c r="AI60" t="s">
        <v>1072</v>
      </c>
      <c r="AK60" t="s">
        <v>1569</v>
      </c>
      <c r="AL60" t="s">
        <v>1569</v>
      </c>
      <c r="AM60" t="s">
        <v>1454</v>
      </c>
      <c r="AQ60" t="s">
        <v>1411</v>
      </c>
      <c r="AV60" t="s">
        <v>1219</v>
      </c>
      <c r="BC60" t="s">
        <v>993</v>
      </c>
    </row>
    <row r="61" spans="11:55">
      <c r="O61" t="s">
        <v>1449</v>
      </c>
      <c r="Q61">
        <v>59</v>
      </c>
      <c r="AD61" t="s">
        <v>1572</v>
      </c>
      <c r="AE61" t="s">
        <v>1573</v>
      </c>
      <c r="AF61" t="s">
        <v>1392</v>
      </c>
      <c r="AI61" t="s">
        <v>1102</v>
      </c>
      <c r="AK61" t="s">
        <v>1573</v>
      </c>
      <c r="AL61" t="s">
        <v>1573</v>
      </c>
      <c r="AM61" t="s">
        <v>1462</v>
      </c>
      <c r="AQ61" t="s">
        <v>1423</v>
      </c>
      <c r="AV61" t="s">
        <v>1239</v>
      </c>
      <c r="BC61" t="s">
        <v>1028</v>
      </c>
    </row>
    <row r="62" spans="11:55">
      <c r="O62" t="s">
        <v>1457</v>
      </c>
      <c r="Q62">
        <v>60</v>
      </c>
      <c r="AD62" t="s">
        <v>1575</v>
      </c>
      <c r="AE62" t="s">
        <v>1576</v>
      </c>
      <c r="AF62" t="s">
        <v>810</v>
      </c>
      <c r="AI62" t="s">
        <v>1133</v>
      </c>
      <c r="AK62" t="s">
        <v>1576</v>
      </c>
      <c r="AL62" t="s">
        <v>1576</v>
      </c>
      <c r="AM62" t="s">
        <v>1468</v>
      </c>
      <c r="AQ62" t="s">
        <v>1435</v>
      </c>
      <c r="AV62" t="s">
        <v>1258</v>
      </c>
      <c r="BC62" t="s">
        <v>1064</v>
      </c>
    </row>
    <row r="63" spans="11:55">
      <c r="O63" t="s">
        <v>1852</v>
      </c>
      <c r="Q63">
        <v>61</v>
      </c>
      <c r="AD63" t="s">
        <v>1579</v>
      </c>
      <c r="AE63" t="s">
        <v>1210</v>
      </c>
      <c r="AF63" t="s">
        <v>79</v>
      </c>
      <c r="AI63" t="s">
        <v>1161</v>
      </c>
      <c r="AK63" t="s">
        <v>1210</v>
      </c>
      <c r="AL63" t="s">
        <v>1210</v>
      </c>
      <c r="AM63" t="s">
        <v>1397</v>
      </c>
      <c r="AQ63" t="s">
        <v>810</v>
      </c>
      <c r="AV63" t="s">
        <v>1570</v>
      </c>
      <c r="BC63" t="s">
        <v>1097</v>
      </c>
    </row>
    <row r="64" spans="11:55">
      <c r="O64" t="s">
        <v>1471</v>
      </c>
      <c r="Q64">
        <v>62</v>
      </c>
      <c r="AD64" t="s">
        <v>1580</v>
      </c>
      <c r="AE64" t="s">
        <v>1581</v>
      </c>
      <c r="AF64" t="s">
        <v>1015</v>
      </c>
      <c r="AI64" t="s">
        <v>1183</v>
      </c>
      <c r="AK64" t="s">
        <v>1581</v>
      </c>
      <c r="AL64" t="s">
        <v>1581</v>
      </c>
      <c r="AM64" t="s">
        <v>1582</v>
      </c>
      <c r="AQ64" t="s">
        <v>854</v>
      </c>
      <c r="AV64" t="s">
        <v>1574</v>
      </c>
      <c r="BC64" t="s">
        <v>1127</v>
      </c>
    </row>
    <row r="65" spans="15:55">
      <c r="O65" t="s">
        <v>2135</v>
      </c>
      <c r="Q65">
        <v>63</v>
      </c>
      <c r="AD65" t="s">
        <v>1583</v>
      </c>
      <c r="AE65" t="s">
        <v>1584</v>
      </c>
      <c r="AF65" t="s">
        <v>1172</v>
      </c>
      <c r="AI65" t="s">
        <v>1205</v>
      </c>
      <c r="AK65" t="s">
        <v>1584</v>
      </c>
      <c r="AL65" t="s">
        <v>1584</v>
      </c>
      <c r="AM65" t="s">
        <v>1585</v>
      </c>
      <c r="AQ65" t="s">
        <v>895</v>
      </c>
      <c r="AV65" t="s">
        <v>1577</v>
      </c>
      <c r="BC65" t="s">
        <v>1156</v>
      </c>
    </row>
    <row r="66" spans="15:55">
      <c r="O66" t="s">
        <v>1476</v>
      </c>
      <c r="Q66">
        <v>64</v>
      </c>
      <c r="AD66" t="s">
        <v>1587</v>
      </c>
      <c r="AE66" t="s">
        <v>1588</v>
      </c>
      <c r="AF66" t="s">
        <v>1273</v>
      </c>
      <c r="AI66" t="s">
        <v>1224</v>
      </c>
      <c r="AK66" t="s">
        <v>1588</v>
      </c>
      <c r="AL66" t="s">
        <v>1588</v>
      </c>
      <c r="AM66" t="s">
        <v>1589</v>
      </c>
      <c r="AQ66" t="s">
        <v>937</v>
      </c>
      <c r="AV66" t="s">
        <v>815</v>
      </c>
      <c r="BC66" t="s">
        <v>1179</v>
      </c>
    </row>
    <row r="67" spans="15:55">
      <c r="O67" t="s">
        <v>2156</v>
      </c>
      <c r="Q67">
        <v>65</v>
      </c>
      <c r="AD67" t="s">
        <v>1591</v>
      </c>
      <c r="AE67" t="s">
        <v>1592</v>
      </c>
      <c r="AF67" t="s">
        <v>83</v>
      </c>
      <c r="AI67" t="s">
        <v>1244</v>
      </c>
      <c r="AK67" t="s">
        <v>1592</v>
      </c>
      <c r="AL67" t="s">
        <v>1592</v>
      </c>
      <c r="AM67" t="s">
        <v>1593</v>
      </c>
      <c r="AQ67" t="s">
        <v>979</v>
      </c>
      <c r="AV67" t="s">
        <v>860</v>
      </c>
      <c r="BC67" t="s">
        <v>1202</v>
      </c>
    </row>
    <row r="68" spans="15:55">
      <c r="O68" t="s">
        <v>1489</v>
      </c>
      <c r="Q68">
        <v>66</v>
      </c>
      <c r="AD68" t="s">
        <v>1594</v>
      </c>
      <c r="AE68" t="s">
        <v>1230</v>
      </c>
      <c r="AF68" t="s">
        <v>811</v>
      </c>
      <c r="AI68" t="s">
        <v>1263</v>
      </c>
      <c r="AK68" t="s">
        <v>1230</v>
      </c>
      <c r="AL68" t="s">
        <v>1230</v>
      </c>
      <c r="AM68" t="s">
        <v>1407</v>
      </c>
      <c r="AQ68" t="s">
        <v>79</v>
      </c>
      <c r="AV68" t="s">
        <v>901</v>
      </c>
      <c r="BC68" t="s">
        <v>824</v>
      </c>
    </row>
    <row r="69" spans="15:55">
      <c r="O69" t="s">
        <v>2139</v>
      </c>
      <c r="Q69">
        <v>67</v>
      </c>
      <c r="AD69" t="s">
        <v>1596</v>
      </c>
      <c r="AE69" t="s">
        <v>1597</v>
      </c>
      <c r="AF69" t="s">
        <v>939</v>
      </c>
      <c r="AI69" t="s">
        <v>1278</v>
      </c>
      <c r="AK69" t="s">
        <v>1597</v>
      </c>
      <c r="AL69" t="s">
        <v>1597</v>
      </c>
      <c r="AM69" t="s">
        <v>1598</v>
      </c>
      <c r="AQ69" t="s">
        <v>855</v>
      </c>
      <c r="AV69" t="s">
        <v>943</v>
      </c>
      <c r="BC69" t="s">
        <v>868</v>
      </c>
    </row>
    <row r="70" spans="15:55">
      <c r="O70" t="s">
        <v>1501</v>
      </c>
      <c r="Q70">
        <v>68</v>
      </c>
      <c r="AD70" t="s">
        <v>1600</v>
      </c>
      <c r="AE70" t="s">
        <v>1601</v>
      </c>
      <c r="AF70" t="s">
        <v>1052</v>
      </c>
      <c r="AI70" t="s">
        <v>1293</v>
      </c>
      <c r="AK70" t="s">
        <v>1601</v>
      </c>
      <c r="AL70" t="s">
        <v>1601</v>
      </c>
      <c r="AM70" t="s">
        <v>1602</v>
      </c>
      <c r="AQ70" t="s">
        <v>896</v>
      </c>
      <c r="AV70" t="s">
        <v>985</v>
      </c>
      <c r="BC70" t="s">
        <v>910</v>
      </c>
    </row>
    <row r="71" spans="15:55">
      <c r="O71" t="s">
        <v>1507</v>
      </c>
      <c r="Q71">
        <v>69</v>
      </c>
      <c r="AD71" t="s">
        <v>1604</v>
      </c>
      <c r="AE71" t="s">
        <v>1605</v>
      </c>
      <c r="AF71" t="s">
        <v>1149</v>
      </c>
      <c r="AI71" t="s">
        <v>1307</v>
      </c>
      <c r="AK71" t="s">
        <v>1605</v>
      </c>
      <c r="AL71" t="s">
        <v>1605</v>
      </c>
      <c r="AM71" t="s">
        <v>1606</v>
      </c>
      <c r="AQ71" t="s">
        <v>938</v>
      </c>
      <c r="AV71" t="s">
        <v>1020</v>
      </c>
      <c r="BC71" t="s">
        <v>952</v>
      </c>
    </row>
    <row r="72" spans="15:55">
      <c r="O72" t="s">
        <v>1514</v>
      </c>
      <c r="Q72">
        <v>70</v>
      </c>
      <c r="AD72" t="s">
        <v>1607</v>
      </c>
      <c r="AE72" t="s">
        <v>1608</v>
      </c>
      <c r="AF72" t="s">
        <v>812</v>
      </c>
      <c r="AI72" t="s">
        <v>1321</v>
      </c>
      <c r="AK72" t="s">
        <v>1608</v>
      </c>
      <c r="AL72" t="s">
        <v>1608</v>
      </c>
      <c r="AM72" t="s">
        <v>1609</v>
      </c>
      <c r="AQ72" t="s">
        <v>980</v>
      </c>
      <c r="AV72" t="s">
        <v>1056</v>
      </c>
      <c r="BC72" t="s">
        <v>994</v>
      </c>
    </row>
    <row r="73" spans="15:55">
      <c r="O73" t="s">
        <v>2140</v>
      </c>
      <c r="Q73">
        <v>71</v>
      </c>
      <c r="AD73" t="s">
        <v>1611</v>
      </c>
      <c r="AE73" t="s">
        <v>804</v>
      </c>
      <c r="AF73" t="s">
        <v>2123</v>
      </c>
      <c r="AI73" t="s">
        <v>1333</v>
      </c>
      <c r="AK73" t="s">
        <v>804</v>
      </c>
      <c r="AM73" t="s">
        <v>1419</v>
      </c>
      <c r="AQ73" t="s">
        <v>1015</v>
      </c>
      <c r="AV73" t="s">
        <v>1090</v>
      </c>
      <c r="BC73" t="s">
        <v>1029</v>
      </c>
    </row>
    <row r="74" spans="15:55">
      <c r="O74" t="s">
        <v>1855</v>
      </c>
      <c r="Q74">
        <v>72</v>
      </c>
      <c r="AD74" t="s">
        <v>1613</v>
      </c>
      <c r="AE74" t="s">
        <v>848</v>
      </c>
      <c r="AF74" t="s">
        <v>940</v>
      </c>
      <c r="AI74" t="s">
        <v>1342</v>
      </c>
      <c r="AK74" t="s">
        <v>848</v>
      </c>
      <c r="AM74" t="s">
        <v>1614</v>
      </c>
      <c r="AQ74" t="s">
        <v>1051</v>
      </c>
      <c r="AV74" t="s">
        <v>1122</v>
      </c>
      <c r="BC74" t="s">
        <v>1065</v>
      </c>
    </row>
    <row r="75" spans="15:55">
      <c r="O75" t="s">
        <v>2141</v>
      </c>
      <c r="Q75">
        <v>73</v>
      </c>
      <c r="AD75" t="s">
        <v>1616</v>
      </c>
      <c r="AE75" t="s">
        <v>889</v>
      </c>
      <c r="AF75" t="s">
        <v>1053</v>
      </c>
      <c r="AI75" t="s">
        <v>664</v>
      </c>
      <c r="AK75" t="s">
        <v>889</v>
      </c>
      <c r="AM75" t="s">
        <v>1617</v>
      </c>
      <c r="AQ75" t="s">
        <v>1085</v>
      </c>
      <c r="AV75" t="s">
        <v>1152</v>
      </c>
      <c r="BC75" t="s">
        <v>1098</v>
      </c>
    </row>
    <row r="76" spans="15:55">
      <c r="O76" t="s">
        <v>2142</v>
      </c>
      <c r="Q76">
        <v>74</v>
      </c>
      <c r="AD76" t="s">
        <v>1619</v>
      </c>
      <c r="AE76" t="s">
        <v>931</v>
      </c>
      <c r="AF76" t="s">
        <v>1150</v>
      </c>
      <c r="AI76" t="s">
        <v>1363</v>
      </c>
      <c r="AK76" t="s">
        <v>931</v>
      </c>
      <c r="AM76" t="s">
        <v>1620</v>
      </c>
      <c r="AQ76" t="s">
        <v>1117</v>
      </c>
      <c r="AV76" t="s">
        <v>1176</v>
      </c>
      <c r="BC76" t="s">
        <v>1128</v>
      </c>
    </row>
    <row r="77" spans="15:55">
      <c r="O77" t="s">
        <v>2143</v>
      </c>
      <c r="Q77">
        <v>75</v>
      </c>
      <c r="AD77" t="s">
        <v>1622</v>
      </c>
      <c r="AE77" t="s">
        <v>973</v>
      </c>
      <c r="AF77" t="s">
        <v>1218</v>
      </c>
      <c r="AI77" t="s">
        <v>1374</v>
      </c>
      <c r="AK77" t="s">
        <v>973</v>
      </c>
      <c r="AM77" t="s">
        <v>1623</v>
      </c>
      <c r="AQ77" t="s">
        <v>1148</v>
      </c>
      <c r="AV77" t="s">
        <v>1199</v>
      </c>
      <c r="BC77" t="s">
        <v>1157</v>
      </c>
    </row>
    <row r="78" spans="15:55">
      <c r="O78" t="s">
        <v>2144</v>
      </c>
      <c r="Q78">
        <v>76</v>
      </c>
      <c r="AD78" t="s">
        <v>1625</v>
      </c>
      <c r="AE78" t="s">
        <v>1010</v>
      </c>
      <c r="AF78" t="s">
        <v>1412</v>
      </c>
      <c r="AI78" t="s">
        <v>1386</v>
      </c>
      <c r="AK78" t="s">
        <v>1010</v>
      </c>
      <c r="AM78" t="s">
        <v>1431</v>
      </c>
      <c r="AQ78" t="s">
        <v>1172</v>
      </c>
      <c r="AV78" t="s">
        <v>1220</v>
      </c>
      <c r="BC78" t="s">
        <v>1180</v>
      </c>
    </row>
    <row r="79" spans="15:55">
      <c r="O79" t="s">
        <v>2145</v>
      </c>
      <c r="Q79">
        <v>77</v>
      </c>
      <c r="AD79" t="s">
        <v>1626</v>
      </c>
      <c r="AE79" t="s">
        <v>1046</v>
      </c>
      <c r="AF79" t="s">
        <v>813</v>
      </c>
      <c r="AI79" t="s">
        <v>1394</v>
      </c>
      <c r="AK79" t="s">
        <v>1046</v>
      </c>
      <c r="AM79" t="s">
        <v>1627</v>
      </c>
      <c r="AQ79" t="s">
        <v>1195</v>
      </c>
      <c r="AV79" t="s">
        <v>1240</v>
      </c>
      <c r="BC79" t="s">
        <v>825</v>
      </c>
    </row>
    <row r="80" spans="15:55">
      <c r="O80" t="s">
        <v>2146</v>
      </c>
      <c r="Q80">
        <v>78</v>
      </c>
      <c r="AD80" t="s">
        <v>1628</v>
      </c>
      <c r="AE80" t="s">
        <v>1079</v>
      </c>
      <c r="AF80" t="s">
        <v>941</v>
      </c>
      <c r="AI80" t="s">
        <v>1403</v>
      </c>
      <c r="AK80" t="s">
        <v>1079</v>
      </c>
      <c r="AM80" t="s">
        <v>1629</v>
      </c>
      <c r="AQ80" t="s">
        <v>1217</v>
      </c>
      <c r="AV80" t="s">
        <v>1259</v>
      </c>
      <c r="BC80" t="s">
        <v>869</v>
      </c>
    </row>
    <row r="81" spans="15:55">
      <c r="O81" t="s">
        <v>1535</v>
      </c>
      <c r="Q81">
        <v>79</v>
      </c>
      <c r="AD81" t="s">
        <v>1630</v>
      </c>
      <c r="AE81" t="s">
        <v>1111</v>
      </c>
      <c r="AF81" t="s">
        <v>1054</v>
      </c>
      <c r="AI81" t="s">
        <v>1414</v>
      </c>
      <c r="AK81" t="s">
        <v>1111</v>
      </c>
      <c r="AM81" t="s">
        <v>1631</v>
      </c>
      <c r="AQ81" t="s">
        <v>1237</v>
      </c>
      <c r="AV81" t="s">
        <v>1274</v>
      </c>
      <c r="BC81" t="s">
        <v>911</v>
      </c>
    </row>
    <row r="82" spans="15:55">
      <c r="O82" t="s">
        <v>1540</v>
      </c>
      <c r="Q82">
        <v>80</v>
      </c>
      <c r="AD82" t="s">
        <v>1632</v>
      </c>
      <c r="AE82" t="s">
        <v>1142</v>
      </c>
      <c r="AF82" t="s">
        <v>1500</v>
      </c>
      <c r="AI82" t="s">
        <v>1426</v>
      </c>
      <c r="AK82" t="s">
        <v>1142</v>
      </c>
      <c r="AM82" t="s">
        <v>1633</v>
      </c>
      <c r="AQ82" t="s">
        <v>1256</v>
      </c>
      <c r="AV82" t="s">
        <v>1289</v>
      </c>
      <c r="BC82" t="s">
        <v>953</v>
      </c>
    </row>
    <row r="83" spans="15:55">
      <c r="O83" t="s">
        <v>2147</v>
      </c>
      <c r="Q83">
        <v>81</v>
      </c>
      <c r="AE83" t="s">
        <v>805</v>
      </c>
      <c r="AF83" t="s">
        <v>814</v>
      </c>
      <c r="AI83" t="s">
        <v>795</v>
      </c>
      <c r="AK83" t="s">
        <v>805</v>
      </c>
      <c r="AM83" t="s">
        <v>1440</v>
      </c>
      <c r="AQ83" t="s">
        <v>1273</v>
      </c>
      <c r="AV83" t="s">
        <v>1304</v>
      </c>
      <c r="BC83" t="s">
        <v>995</v>
      </c>
    </row>
    <row r="84" spans="15:55">
      <c r="O84" t="s">
        <v>1547</v>
      </c>
      <c r="Q84">
        <v>82</v>
      </c>
      <c r="AE84" t="s">
        <v>849</v>
      </c>
      <c r="AF84" t="s">
        <v>942</v>
      </c>
      <c r="AI84" t="s">
        <v>836</v>
      </c>
      <c r="AK84" t="s">
        <v>849</v>
      </c>
      <c r="AM84" t="s">
        <v>1634</v>
      </c>
      <c r="AQ84" t="s">
        <v>1288</v>
      </c>
      <c r="AV84" t="s">
        <v>816</v>
      </c>
      <c r="BC84" t="s">
        <v>1030</v>
      </c>
    </row>
    <row r="85" spans="15:55">
      <c r="O85" t="s">
        <v>1550</v>
      </c>
      <c r="Q85">
        <v>83</v>
      </c>
      <c r="AE85" t="s">
        <v>890</v>
      </c>
      <c r="AF85" t="s">
        <v>1055</v>
      </c>
      <c r="AI85" t="s">
        <v>881</v>
      </c>
      <c r="AK85" t="s">
        <v>890</v>
      </c>
      <c r="AM85" t="s">
        <v>1635</v>
      </c>
      <c r="AQ85" t="s">
        <v>1303</v>
      </c>
      <c r="AV85" t="s">
        <v>861</v>
      </c>
      <c r="BC85" t="s">
        <v>1066</v>
      </c>
    </row>
    <row r="86" spans="15:55">
      <c r="O86" t="s">
        <v>140</v>
      </c>
      <c r="Q86">
        <v>84</v>
      </c>
      <c r="AE86" t="s">
        <v>932</v>
      </c>
      <c r="AF86" t="s">
        <v>1151</v>
      </c>
      <c r="AI86" t="s">
        <v>923</v>
      </c>
      <c r="AK86" t="s">
        <v>932</v>
      </c>
      <c r="AM86" t="s">
        <v>1636</v>
      </c>
      <c r="AQ86" t="s">
        <v>1318</v>
      </c>
      <c r="AV86" t="s">
        <v>902</v>
      </c>
      <c r="BC86" t="s">
        <v>1099</v>
      </c>
    </row>
    <row r="87" spans="15:55">
      <c r="O87" t="s">
        <v>1554</v>
      </c>
      <c r="Q87">
        <v>85</v>
      </c>
      <c r="AE87" t="s">
        <v>974</v>
      </c>
      <c r="AF87" t="s">
        <v>1219</v>
      </c>
      <c r="AI87" t="s">
        <v>964</v>
      </c>
      <c r="AK87" t="s">
        <v>974</v>
      </c>
      <c r="AM87" t="s">
        <v>1637</v>
      </c>
      <c r="AQ87" t="s">
        <v>1331</v>
      </c>
      <c r="AV87" t="s">
        <v>944</v>
      </c>
      <c r="BC87" t="s">
        <v>1129</v>
      </c>
    </row>
    <row r="88" spans="15:55">
      <c r="O88" t="s">
        <v>1557</v>
      </c>
      <c r="Q88">
        <v>86</v>
      </c>
      <c r="AE88" t="s">
        <v>1011</v>
      </c>
      <c r="AF88" t="s">
        <v>1570</v>
      </c>
      <c r="AI88" t="s">
        <v>1003</v>
      </c>
      <c r="AK88" t="s">
        <v>1011</v>
      </c>
      <c r="AM88" t="s">
        <v>77</v>
      </c>
      <c r="AQ88" t="s">
        <v>83</v>
      </c>
      <c r="AV88" t="s">
        <v>986</v>
      </c>
      <c r="BC88" t="s">
        <v>1158</v>
      </c>
    </row>
    <row r="89" spans="15:55">
      <c r="O89" t="s">
        <v>1560</v>
      </c>
      <c r="Q89">
        <v>87</v>
      </c>
      <c r="AE89" t="s">
        <v>1047</v>
      </c>
      <c r="AF89" t="s">
        <v>815</v>
      </c>
      <c r="AI89" t="s">
        <v>1039</v>
      </c>
      <c r="AK89" t="s">
        <v>1047</v>
      </c>
      <c r="AM89" t="s">
        <v>1638</v>
      </c>
      <c r="AQ89" t="s">
        <v>1639</v>
      </c>
      <c r="AV89" t="s">
        <v>1021</v>
      </c>
      <c r="BC89" t="s">
        <v>1181</v>
      </c>
    </row>
    <row r="90" spans="15:55">
      <c r="O90" t="s">
        <v>1856</v>
      </c>
      <c r="Q90">
        <v>88</v>
      </c>
      <c r="AE90" t="s">
        <v>1080</v>
      </c>
      <c r="AF90" t="s">
        <v>943</v>
      </c>
      <c r="AI90" t="s">
        <v>1073</v>
      </c>
      <c r="AK90" t="s">
        <v>1080</v>
      </c>
      <c r="AM90" t="s">
        <v>1640</v>
      </c>
      <c r="AQ90" t="s">
        <v>1641</v>
      </c>
      <c r="AV90" t="s">
        <v>1057</v>
      </c>
      <c r="BC90" t="s">
        <v>1203</v>
      </c>
    </row>
    <row r="91" spans="15:55">
      <c r="O91" t="s">
        <v>1564</v>
      </c>
      <c r="Q91">
        <v>89</v>
      </c>
      <c r="AE91" t="s">
        <v>1112</v>
      </c>
      <c r="AF91" t="s">
        <v>1056</v>
      </c>
      <c r="AI91" t="s">
        <v>1103</v>
      </c>
      <c r="AK91" t="s">
        <v>1112</v>
      </c>
      <c r="AM91" t="s">
        <v>1642</v>
      </c>
      <c r="AQ91" t="s">
        <v>1643</v>
      </c>
      <c r="AV91" t="s">
        <v>1091</v>
      </c>
      <c r="BC91" t="s">
        <v>1222</v>
      </c>
    </row>
    <row r="92" spans="15:55">
      <c r="O92" t="s">
        <v>1567</v>
      </c>
      <c r="Q92">
        <v>90</v>
      </c>
      <c r="AE92" t="s">
        <v>1143</v>
      </c>
      <c r="AF92" t="s">
        <v>1152</v>
      </c>
      <c r="AI92" t="s">
        <v>1134</v>
      </c>
      <c r="AK92" t="s">
        <v>1143</v>
      </c>
      <c r="AM92" t="s">
        <v>1644</v>
      </c>
      <c r="AQ92" t="s">
        <v>1645</v>
      </c>
      <c r="AV92" t="s">
        <v>1123</v>
      </c>
      <c r="BC92" t="s">
        <v>1221</v>
      </c>
    </row>
    <row r="93" spans="15:55">
      <c r="O93" t="s">
        <v>1571</v>
      </c>
      <c r="Q93">
        <v>91</v>
      </c>
      <c r="AE93" t="s">
        <v>1313</v>
      </c>
      <c r="AF93" t="s">
        <v>1220</v>
      </c>
      <c r="AI93" t="s">
        <v>1162</v>
      </c>
      <c r="AK93" t="s">
        <v>1313</v>
      </c>
      <c r="AM93" t="s">
        <v>1453</v>
      </c>
      <c r="AV93" t="s">
        <v>1153</v>
      </c>
      <c r="BC93" t="s">
        <v>1241</v>
      </c>
    </row>
    <row r="94" spans="15:55">
      <c r="O94" t="s">
        <v>1857</v>
      </c>
      <c r="Q94">
        <v>92</v>
      </c>
      <c r="AE94" t="s">
        <v>1347</v>
      </c>
      <c r="AF94" t="s">
        <v>1274</v>
      </c>
      <c r="AI94" t="s">
        <v>2107</v>
      </c>
      <c r="AK94" t="s">
        <v>1347</v>
      </c>
      <c r="AM94" t="s">
        <v>1647</v>
      </c>
      <c r="AV94" t="s">
        <v>1177</v>
      </c>
      <c r="BC94" t="s">
        <v>1260</v>
      </c>
    </row>
    <row r="95" spans="15:55">
      <c r="O95" t="s">
        <v>1578</v>
      </c>
      <c r="Q95">
        <v>93</v>
      </c>
      <c r="AE95" t="s">
        <v>1357</v>
      </c>
      <c r="AF95" t="s">
        <v>816</v>
      </c>
      <c r="AI95" t="s">
        <v>2108</v>
      </c>
      <c r="AK95" t="s">
        <v>1357</v>
      </c>
      <c r="AM95" t="s">
        <v>1649</v>
      </c>
      <c r="AV95" t="s">
        <v>1200</v>
      </c>
      <c r="BC95" t="s">
        <v>1275</v>
      </c>
    </row>
    <row r="96" spans="15:55">
      <c r="O96" t="s">
        <v>802</v>
      </c>
      <c r="Q96">
        <v>94</v>
      </c>
      <c r="AE96" t="s">
        <v>1368</v>
      </c>
      <c r="AF96" t="s">
        <v>944</v>
      </c>
      <c r="AI96" t="s">
        <v>2109</v>
      </c>
      <c r="AK96" t="s">
        <v>1368</v>
      </c>
      <c r="AM96" t="s">
        <v>1651</v>
      </c>
      <c r="AV96" t="s">
        <v>1646</v>
      </c>
      <c r="BC96" t="s">
        <v>1290</v>
      </c>
    </row>
    <row r="97" spans="15:55">
      <c r="O97" t="s">
        <v>2148</v>
      </c>
      <c r="Q97">
        <v>95</v>
      </c>
      <c r="AE97" t="s">
        <v>1380</v>
      </c>
      <c r="AF97" t="s">
        <v>1057</v>
      </c>
      <c r="AI97" t="s">
        <v>2110</v>
      </c>
      <c r="AK97" t="s">
        <v>1380</v>
      </c>
      <c r="AM97" t="s">
        <v>1653</v>
      </c>
      <c r="AV97" t="s">
        <v>1648</v>
      </c>
      <c r="BC97" t="s">
        <v>1094</v>
      </c>
    </row>
    <row r="98" spans="15:55">
      <c r="O98" t="s">
        <v>2149</v>
      </c>
      <c r="Q98">
        <v>96</v>
      </c>
      <c r="AE98" t="s">
        <v>75</v>
      </c>
      <c r="AF98" t="s">
        <v>1153</v>
      </c>
      <c r="AI98" t="s">
        <v>1206</v>
      </c>
      <c r="AK98" t="s">
        <v>75</v>
      </c>
      <c r="AM98" t="s">
        <v>1461</v>
      </c>
      <c r="AV98" t="s">
        <v>1650</v>
      </c>
      <c r="BC98" t="s">
        <v>1242</v>
      </c>
    </row>
    <row r="99" spans="15:55">
      <c r="O99" t="s">
        <v>2150</v>
      </c>
      <c r="Q99">
        <v>97</v>
      </c>
      <c r="AE99" t="s">
        <v>1190</v>
      </c>
      <c r="AF99" t="s">
        <v>1646</v>
      </c>
      <c r="AI99" t="s">
        <v>1225</v>
      </c>
      <c r="AK99" t="s">
        <v>1190</v>
      </c>
      <c r="AM99" t="s">
        <v>1656</v>
      </c>
      <c r="AV99" t="s">
        <v>1652</v>
      </c>
      <c r="BC99" t="s">
        <v>1261</v>
      </c>
    </row>
    <row r="100" spans="15:55">
      <c r="O100" t="s">
        <v>2151</v>
      </c>
      <c r="Q100">
        <v>98</v>
      </c>
      <c r="AE100" t="s">
        <v>1212</v>
      </c>
      <c r="AF100" t="s">
        <v>1652</v>
      </c>
      <c r="AI100" t="s">
        <v>1245</v>
      </c>
      <c r="AK100" t="s">
        <v>1212</v>
      </c>
      <c r="AM100" t="s">
        <v>1658</v>
      </c>
      <c r="AV100" t="s">
        <v>1654</v>
      </c>
      <c r="BC100" t="s">
        <v>1276</v>
      </c>
    </row>
    <row r="101" spans="15:55">
      <c r="O101" t="s">
        <v>2152</v>
      </c>
      <c r="Q101">
        <v>99</v>
      </c>
      <c r="AE101" t="s">
        <v>1232</v>
      </c>
      <c r="AF101" t="s">
        <v>1657</v>
      </c>
      <c r="AI101" t="s">
        <v>1264</v>
      </c>
      <c r="AK101" t="s">
        <v>1232</v>
      </c>
      <c r="AM101" t="s">
        <v>1661</v>
      </c>
      <c r="AV101" t="s">
        <v>1655</v>
      </c>
      <c r="BC101" t="s">
        <v>1291</v>
      </c>
    </row>
    <row r="102" spans="15:55">
      <c r="O102" t="s">
        <v>2153</v>
      </c>
      <c r="AE102" t="s">
        <v>1251</v>
      </c>
      <c r="AF102" t="s">
        <v>1660</v>
      </c>
      <c r="AI102" t="s">
        <v>1279</v>
      </c>
      <c r="AK102" t="s">
        <v>1251</v>
      </c>
      <c r="AM102" t="s">
        <v>1664</v>
      </c>
      <c r="AV102" t="s">
        <v>1657</v>
      </c>
      <c r="BC102" t="s">
        <v>1305</v>
      </c>
    </row>
    <row r="103" spans="15:55">
      <c r="O103" t="s">
        <v>1858</v>
      </c>
      <c r="AE103" t="s">
        <v>1269</v>
      </c>
      <c r="AF103" t="s">
        <v>1663</v>
      </c>
      <c r="AI103" t="s">
        <v>1294</v>
      </c>
      <c r="AK103" t="s">
        <v>1269</v>
      </c>
      <c r="AM103" t="s">
        <v>806</v>
      </c>
      <c r="AV103" t="s">
        <v>1659</v>
      </c>
      <c r="BC103" t="s">
        <v>1319</v>
      </c>
    </row>
    <row r="104" spans="15:55">
      <c r="O104" t="s">
        <v>1586</v>
      </c>
      <c r="AE104" t="s">
        <v>1284</v>
      </c>
      <c r="AF104" t="s">
        <v>45</v>
      </c>
      <c r="AI104" t="s">
        <v>1308</v>
      </c>
      <c r="AK104" t="s">
        <v>1284</v>
      </c>
      <c r="AM104" t="s">
        <v>850</v>
      </c>
      <c r="AV104" t="s">
        <v>1662</v>
      </c>
      <c r="BC104" t="s">
        <v>110</v>
      </c>
    </row>
    <row r="105" spans="15:55">
      <c r="O105" t="s">
        <v>1590</v>
      </c>
      <c r="AE105" t="s">
        <v>1299</v>
      </c>
      <c r="AF105" t="s">
        <v>1666</v>
      </c>
      <c r="AI105" t="s">
        <v>1322</v>
      </c>
      <c r="AK105" t="s">
        <v>1299</v>
      </c>
      <c r="AM105" t="s">
        <v>891</v>
      </c>
      <c r="AV105" t="s">
        <v>1660</v>
      </c>
      <c r="BC105" t="s">
        <v>2113</v>
      </c>
    </row>
    <row r="106" spans="15:55">
      <c r="O106" t="s">
        <v>2154</v>
      </c>
      <c r="AE106" t="s">
        <v>1314</v>
      </c>
      <c r="AF106" t="s">
        <v>1668</v>
      </c>
      <c r="AI106" t="s">
        <v>796</v>
      </c>
      <c r="AK106" t="s">
        <v>1314</v>
      </c>
      <c r="AM106" t="s">
        <v>933</v>
      </c>
      <c r="AV106" t="s">
        <v>1665</v>
      </c>
      <c r="BC106" t="s">
        <v>2115</v>
      </c>
    </row>
    <row r="107" spans="15:55">
      <c r="O107" t="s">
        <v>1595</v>
      </c>
      <c r="AE107" t="s">
        <v>1327</v>
      </c>
      <c r="AF107" t="s">
        <v>1669</v>
      </c>
      <c r="AI107" t="s">
        <v>837</v>
      </c>
      <c r="AK107" t="s">
        <v>1327</v>
      </c>
      <c r="AM107" t="s">
        <v>975</v>
      </c>
      <c r="AV107" t="s">
        <v>1667</v>
      </c>
      <c r="BC107" t="s">
        <v>2138</v>
      </c>
    </row>
    <row r="108" spans="15:55">
      <c r="O108" t="s">
        <v>1599</v>
      </c>
      <c r="AE108" t="s">
        <v>1346</v>
      </c>
      <c r="AF108" t="s">
        <v>1671</v>
      </c>
      <c r="AI108" t="s">
        <v>882</v>
      </c>
      <c r="AK108" t="s">
        <v>1346</v>
      </c>
      <c r="AM108" t="s">
        <v>1012</v>
      </c>
      <c r="AV108" t="s">
        <v>1663</v>
      </c>
      <c r="BC108" t="s">
        <v>2136</v>
      </c>
    </row>
    <row r="109" spans="15:55">
      <c r="O109" t="s">
        <v>1603</v>
      </c>
      <c r="AE109" t="s">
        <v>1480</v>
      </c>
      <c r="AF109" t="s">
        <v>42</v>
      </c>
      <c r="AI109" t="s">
        <v>924</v>
      </c>
      <c r="AK109" t="s">
        <v>1480</v>
      </c>
      <c r="AM109" t="s">
        <v>72</v>
      </c>
      <c r="AV109" t="s">
        <v>1670</v>
      </c>
    </row>
    <row r="110" spans="15:55">
      <c r="O110" t="s">
        <v>1859</v>
      </c>
      <c r="AE110" t="s">
        <v>1486</v>
      </c>
      <c r="AF110" t="s">
        <v>1673</v>
      </c>
      <c r="AI110" t="s">
        <v>965</v>
      </c>
      <c r="AK110" t="s">
        <v>1486</v>
      </c>
      <c r="AM110" t="s">
        <v>1081</v>
      </c>
      <c r="AV110" t="s">
        <v>1672</v>
      </c>
    </row>
    <row r="111" spans="15:55">
      <c r="O111" t="s">
        <v>1860</v>
      </c>
      <c r="AE111" t="s">
        <v>1493</v>
      </c>
      <c r="AF111" t="s">
        <v>1675</v>
      </c>
      <c r="AI111" t="s">
        <v>1004</v>
      </c>
      <c r="AK111" t="s">
        <v>1493</v>
      </c>
      <c r="AM111" t="s">
        <v>1113</v>
      </c>
      <c r="AV111" t="s">
        <v>45</v>
      </c>
    </row>
    <row r="112" spans="15:55">
      <c r="O112" t="s">
        <v>1861</v>
      </c>
      <c r="AE112" t="s">
        <v>1498</v>
      </c>
      <c r="AF112" t="s">
        <v>86</v>
      </c>
      <c r="AI112" t="s">
        <v>1040</v>
      </c>
      <c r="AK112" t="s">
        <v>1498</v>
      </c>
      <c r="AM112" t="s">
        <v>1144</v>
      </c>
      <c r="AV112" t="s">
        <v>1674</v>
      </c>
    </row>
    <row r="113" spans="15:48">
      <c r="O113" t="s">
        <v>1862</v>
      </c>
      <c r="AE113" t="s">
        <v>1356</v>
      </c>
      <c r="AI113" t="s">
        <v>1074</v>
      </c>
      <c r="AK113" t="s">
        <v>1356</v>
      </c>
      <c r="AM113" t="s">
        <v>1168</v>
      </c>
      <c r="AV113" t="s">
        <v>1676</v>
      </c>
    </row>
    <row r="114" spans="15:48">
      <c r="O114" t="s">
        <v>1863</v>
      </c>
      <c r="AE114" t="s">
        <v>1511</v>
      </c>
      <c r="AI114" t="s">
        <v>1104</v>
      </c>
      <c r="AK114" t="s">
        <v>1511</v>
      </c>
      <c r="AM114" t="s">
        <v>1191</v>
      </c>
      <c r="AV114" t="s">
        <v>1666</v>
      </c>
    </row>
    <row r="115" spans="15:48">
      <c r="O115" t="s">
        <v>1864</v>
      </c>
      <c r="AE115" t="s">
        <v>1518</v>
      </c>
      <c r="AI115" t="s">
        <v>1135</v>
      </c>
      <c r="AK115" t="s">
        <v>1518</v>
      </c>
      <c r="AM115" t="s">
        <v>1213</v>
      </c>
      <c r="AV115" t="s">
        <v>1677</v>
      </c>
    </row>
    <row r="116" spans="15:48">
      <c r="O116" t="s">
        <v>1865</v>
      </c>
      <c r="AE116" t="s">
        <v>1524</v>
      </c>
      <c r="AI116" t="s">
        <v>1163</v>
      </c>
      <c r="AK116" t="s">
        <v>1524</v>
      </c>
      <c r="AM116" t="s">
        <v>1233</v>
      </c>
      <c r="AV116" t="s">
        <v>1678</v>
      </c>
    </row>
    <row r="117" spans="15:48">
      <c r="O117" t="s">
        <v>1610</v>
      </c>
      <c r="AE117" t="s">
        <v>1530</v>
      </c>
      <c r="AI117" t="s">
        <v>1184</v>
      </c>
      <c r="AK117" t="s">
        <v>1530</v>
      </c>
      <c r="AM117" t="s">
        <v>1252</v>
      </c>
      <c r="AV117" t="s">
        <v>1668</v>
      </c>
    </row>
    <row r="118" spans="15:48">
      <c r="O118" t="s">
        <v>1612</v>
      </c>
      <c r="AE118" t="s">
        <v>1337</v>
      </c>
      <c r="AI118" t="s">
        <v>1207</v>
      </c>
      <c r="AK118" t="s">
        <v>1337</v>
      </c>
      <c r="AM118" t="s">
        <v>1270</v>
      </c>
      <c r="AV118" t="s">
        <v>1679</v>
      </c>
    </row>
    <row r="119" spans="15:48">
      <c r="O119" t="s">
        <v>1615</v>
      </c>
      <c r="AE119" t="s">
        <v>1348</v>
      </c>
      <c r="AI119" t="s">
        <v>1226</v>
      </c>
      <c r="AK119" t="s">
        <v>1348</v>
      </c>
      <c r="AM119" t="s">
        <v>1285</v>
      </c>
      <c r="AV119" t="s">
        <v>1680</v>
      </c>
    </row>
    <row r="120" spans="15:48">
      <c r="O120" t="s">
        <v>1618</v>
      </c>
      <c r="AE120" t="s">
        <v>1358</v>
      </c>
      <c r="AI120" t="s">
        <v>1246</v>
      </c>
      <c r="AK120" t="s">
        <v>1358</v>
      </c>
      <c r="AM120" t="s">
        <v>1300</v>
      </c>
      <c r="AV120" t="s">
        <v>1669</v>
      </c>
    </row>
    <row r="121" spans="15:48">
      <c r="O121" t="s">
        <v>1621</v>
      </c>
      <c r="AE121" t="s">
        <v>1369</v>
      </c>
      <c r="AI121" t="s">
        <v>1265</v>
      </c>
      <c r="AK121" t="s">
        <v>1369</v>
      </c>
      <c r="AM121" t="s">
        <v>1315</v>
      </c>
      <c r="AV121" t="s">
        <v>1681</v>
      </c>
    </row>
    <row r="122" spans="15:48">
      <c r="O122" t="s">
        <v>1624</v>
      </c>
      <c r="AE122" t="s">
        <v>1381</v>
      </c>
      <c r="AI122" t="s">
        <v>1280</v>
      </c>
      <c r="AK122" t="s">
        <v>1381</v>
      </c>
      <c r="AM122" t="s">
        <v>1328</v>
      </c>
      <c r="AV122" t="s">
        <v>1682</v>
      </c>
    </row>
    <row r="123" spans="15:48">
      <c r="O123" t="s">
        <v>1867</v>
      </c>
      <c r="AE123" t="s">
        <v>1379</v>
      </c>
      <c r="AI123" t="s">
        <v>1295</v>
      </c>
      <c r="AK123" t="s">
        <v>1379</v>
      </c>
      <c r="AM123" t="s">
        <v>1338</v>
      </c>
      <c r="AV123" t="s">
        <v>1671</v>
      </c>
    </row>
    <row r="124" spans="15:48">
      <c r="O124" t="s">
        <v>1868</v>
      </c>
      <c r="AE124" t="s">
        <v>1398</v>
      </c>
      <c r="AI124" t="s">
        <v>1309</v>
      </c>
      <c r="AK124" t="s">
        <v>1398</v>
      </c>
      <c r="AM124" t="s">
        <v>1349</v>
      </c>
      <c r="AV124" t="s">
        <v>1683</v>
      </c>
    </row>
    <row r="125" spans="15:48">
      <c r="O125" t="s">
        <v>1869</v>
      </c>
      <c r="AE125" t="s">
        <v>1408</v>
      </c>
      <c r="AI125" t="s">
        <v>1323</v>
      </c>
      <c r="AK125" t="s">
        <v>1408</v>
      </c>
      <c r="AM125" t="s">
        <v>1359</v>
      </c>
      <c r="AV125" t="s">
        <v>1684</v>
      </c>
    </row>
    <row r="126" spans="15:48">
      <c r="O126" t="s">
        <v>1870</v>
      </c>
      <c r="AE126" t="s">
        <v>1420</v>
      </c>
      <c r="AI126" t="s">
        <v>1334</v>
      </c>
      <c r="AK126" t="s">
        <v>1420</v>
      </c>
      <c r="AM126" t="s">
        <v>1370</v>
      </c>
      <c r="AV126" t="s">
        <v>42</v>
      </c>
    </row>
    <row r="127" spans="15:48">
      <c r="O127" t="s">
        <v>1871</v>
      </c>
      <c r="AE127" t="s">
        <v>1432</v>
      </c>
      <c r="AI127" t="s">
        <v>1343</v>
      </c>
      <c r="AK127" t="s">
        <v>1432</v>
      </c>
      <c r="AM127" t="s">
        <v>1382</v>
      </c>
      <c r="AV127" t="s">
        <v>1685</v>
      </c>
    </row>
    <row r="128" spans="15:48">
      <c r="O128" t="s">
        <v>138</v>
      </c>
      <c r="AE128" t="s">
        <v>1389</v>
      </c>
      <c r="AI128" t="s">
        <v>67</v>
      </c>
      <c r="AK128" t="s">
        <v>1389</v>
      </c>
      <c r="AM128" t="s">
        <v>1390</v>
      </c>
      <c r="AV128" t="s">
        <v>1686</v>
      </c>
    </row>
    <row r="129" spans="15:48">
      <c r="O129" t="s">
        <v>1873</v>
      </c>
      <c r="AE129" t="s">
        <v>1446</v>
      </c>
      <c r="AI129" t="s">
        <v>1879</v>
      </c>
      <c r="AK129" t="s">
        <v>1446</v>
      </c>
      <c r="AM129" t="s">
        <v>1399</v>
      </c>
      <c r="AV129" t="s">
        <v>1673</v>
      </c>
    </row>
    <row r="130" spans="15:48">
      <c r="O130" t="s">
        <v>143</v>
      </c>
      <c r="AE130" t="s">
        <v>1454</v>
      </c>
      <c r="AI130" t="s">
        <v>1375</v>
      </c>
      <c r="AK130" t="s">
        <v>1454</v>
      </c>
      <c r="AM130" t="s">
        <v>1409</v>
      </c>
      <c r="AV130" t="s">
        <v>1687</v>
      </c>
    </row>
    <row r="131" spans="15:48">
      <c r="O131" t="s">
        <v>1874</v>
      </c>
      <c r="AE131" t="s">
        <v>1462</v>
      </c>
      <c r="AI131" t="s">
        <v>1387</v>
      </c>
      <c r="AK131" t="s">
        <v>1462</v>
      </c>
      <c r="AM131" t="s">
        <v>1421</v>
      </c>
      <c r="AV131" t="s">
        <v>1688</v>
      </c>
    </row>
    <row r="132" spans="15:48">
      <c r="O132" t="s">
        <v>136</v>
      </c>
      <c r="AE132" t="s">
        <v>1468</v>
      </c>
      <c r="AK132" t="s">
        <v>1468</v>
      </c>
      <c r="AM132" t="s">
        <v>1433</v>
      </c>
      <c r="AV132" t="s">
        <v>1675</v>
      </c>
    </row>
    <row r="133" spans="15:48">
      <c r="O133" t="s">
        <v>2155</v>
      </c>
      <c r="AE133" t="s">
        <v>1397</v>
      </c>
      <c r="AK133" t="s">
        <v>1397</v>
      </c>
      <c r="AM133" t="s">
        <v>1441</v>
      </c>
      <c r="AV133" t="s">
        <v>1689</v>
      </c>
    </row>
    <row r="134" spans="15:48">
      <c r="O134" t="s">
        <v>817</v>
      </c>
      <c r="AE134" t="s">
        <v>1582</v>
      </c>
      <c r="AK134" t="s">
        <v>1582</v>
      </c>
      <c r="AM134" t="s">
        <v>1447</v>
      </c>
      <c r="AV134" t="s">
        <v>1690</v>
      </c>
    </row>
    <row r="135" spans="15:48">
      <c r="O135" t="s">
        <v>862</v>
      </c>
      <c r="AE135" t="s">
        <v>1585</v>
      </c>
      <c r="AK135" t="s">
        <v>1585</v>
      </c>
      <c r="AM135" t="s">
        <v>1455</v>
      </c>
      <c r="AV135" t="s">
        <v>86</v>
      </c>
    </row>
    <row r="136" spans="15:48">
      <c r="O136" t="s">
        <v>903</v>
      </c>
      <c r="AE136" t="s">
        <v>1589</v>
      </c>
      <c r="AK136" t="s">
        <v>1589</v>
      </c>
      <c r="AM136" t="s">
        <v>1463</v>
      </c>
      <c r="AV136" t="s">
        <v>1691</v>
      </c>
    </row>
    <row r="137" spans="15:48">
      <c r="O137" t="s">
        <v>945</v>
      </c>
      <c r="AE137" t="s">
        <v>1593</v>
      </c>
      <c r="AK137" t="s">
        <v>1593</v>
      </c>
      <c r="AM137" t="s">
        <v>1469</v>
      </c>
      <c r="AV137" t="s">
        <v>1692</v>
      </c>
    </row>
    <row r="138" spans="15:48">
      <c r="O138" t="s">
        <v>987</v>
      </c>
      <c r="AE138" t="s">
        <v>1407</v>
      </c>
      <c r="AK138" t="s">
        <v>1407</v>
      </c>
      <c r="AM138" t="s">
        <v>1474</v>
      </c>
    </row>
    <row r="139" spans="15:48">
      <c r="O139" t="s">
        <v>1022</v>
      </c>
      <c r="AE139" t="s">
        <v>1598</v>
      </c>
      <c r="AK139" t="s">
        <v>1598</v>
      </c>
      <c r="AM139" t="s">
        <v>1481</v>
      </c>
    </row>
    <row r="140" spans="15:48">
      <c r="O140" t="s">
        <v>1058</v>
      </c>
      <c r="AE140" t="s">
        <v>1602</v>
      </c>
      <c r="AK140" t="s">
        <v>1602</v>
      </c>
      <c r="AM140" t="s">
        <v>1487</v>
      </c>
    </row>
    <row r="141" spans="15:48">
      <c r="O141" t="s">
        <v>1092</v>
      </c>
      <c r="AE141" t="s">
        <v>1606</v>
      </c>
      <c r="AK141" t="s">
        <v>1606</v>
      </c>
      <c r="AM141" t="s">
        <v>1494</v>
      </c>
    </row>
    <row r="142" spans="15:48">
      <c r="O142" t="s">
        <v>1124</v>
      </c>
      <c r="AE142" t="s">
        <v>1609</v>
      </c>
      <c r="AK142" t="s">
        <v>1609</v>
      </c>
      <c r="AM142" t="s">
        <v>1499</v>
      </c>
    </row>
    <row r="143" spans="15:48">
      <c r="O143" t="s">
        <v>1154</v>
      </c>
      <c r="AE143" t="s">
        <v>1419</v>
      </c>
      <c r="AK143" t="s">
        <v>1419</v>
      </c>
      <c r="AM143" t="s">
        <v>1504</v>
      </c>
    </row>
    <row r="144" spans="15:48">
      <c r="O144" t="s">
        <v>1878</v>
      </c>
      <c r="AE144" t="s">
        <v>1614</v>
      </c>
      <c r="AK144" t="s">
        <v>1614</v>
      </c>
      <c r="AM144" t="s">
        <v>1512</v>
      </c>
    </row>
    <row r="145" spans="15:39">
      <c r="O145" t="s">
        <v>1880</v>
      </c>
      <c r="AE145" t="s">
        <v>1617</v>
      </c>
      <c r="AK145" t="s">
        <v>1617</v>
      </c>
      <c r="AM145" t="s">
        <v>1519</v>
      </c>
    </row>
    <row r="146" spans="15:39">
      <c r="O146" t="s">
        <v>1881</v>
      </c>
      <c r="AE146" t="s">
        <v>1620</v>
      </c>
      <c r="AK146" t="s">
        <v>1620</v>
      </c>
      <c r="AM146" t="s">
        <v>1525</v>
      </c>
    </row>
    <row r="147" spans="15:39">
      <c r="O147" t="s">
        <v>1882</v>
      </c>
      <c r="AE147" t="s">
        <v>1623</v>
      </c>
      <c r="AK147" t="s">
        <v>1623</v>
      </c>
      <c r="AM147" t="s">
        <v>1531</v>
      </c>
    </row>
    <row r="148" spans="15:39">
      <c r="O148" t="s">
        <v>1883</v>
      </c>
      <c r="AE148" t="s">
        <v>1431</v>
      </c>
      <c r="AK148" t="s">
        <v>1431</v>
      </c>
      <c r="AM148" t="s">
        <v>1523</v>
      </c>
    </row>
    <row r="149" spans="15:39">
      <c r="O149" t="s">
        <v>1884</v>
      </c>
      <c r="AE149" t="s">
        <v>1627</v>
      </c>
      <c r="AK149" t="s">
        <v>1627</v>
      </c>
      <c r="AM149" t="s">
        <v>1693</v>
      </c>
    </row>
    <row r="150" spans="15:39">
      <c r="O150" t="s">
        <v>1885</v>
      </c>
      <c r="AE150" t="s">
        <v>1629</v>
      </c>
      <c r="AK150" t="s">
        <v>1629</v>
      </c>
      <c r="AM150" t="s">
        <v>1694</v>
      </c>
    </row>
    <row r="151" spans="15:39">
      <c r="O151" t="s">
        <v>819</v>
      </c>
      <c r="AE151" t="s">
        <v>1631</v>
      </c>
      <c r="AK151" t="s">
        <v>1631</v>
      </c>
      <c r="AM151" t="s">
        <v>1695</v>
      </c>
    </row>
    <row r="152" spans="15:39">
      <c r="O152" t="s">
        <v>863</v>
      </c>
      <c r="AE152" t="s">
        <v>1633</v>
      </c>
      <c r="AK152" t="s">
        <v>1633</v>
      </c>
      <c r="AM152" t="s">
        <v>1696</v>
      </c>
    </row>
    <row r="153" spans="15:39">
      <c r="O153" t="s">
        <v>905</v>
      </c>
      <c r="AE153" t="s">
        <v>1440</v>
      </c>
      <c r="AK153" t="s">
        <v>1440</v>
      </c>
      <c r="AM153" t="s">
        <v>807</v>
      </c>
    </row>
    <row r="154" spans="15:39">
      <c r="O154" t="s">
        <v>947</v>
      </c>
      <c r="AE154" t="s">
        <v>1634</v>
      </c>
      <c r="AK154" t="s">
        <v>1634</v>
      </c>
      <c r="AM154" t="s">
        <v>851</v>
      </c>
    </row>
    <row r="155" spans="15:39">
      <c r="O155" t="s">
        <v>989</v>
      </c>
      <c r="AE155" t="s">
        <v>1635</v>
      </c>
      <c r="AK155" t="s">
        <v>1635</v>
      </c>
      <c r="AM155" t="s">
        <v>892</v>
      </c>
    </row>
    <row r="156" spans="15:39">
      <c r="O156" t="s">
        <v>1024</v>
      </c>
      <c r="AE156" t="s">
        <v>1636</v>
      </c>
      <c r="AK156" t="s">
        <v>1636</v>
      </c>
      <c r="AM156" t="s">
        <v>934</v>
      </c>
    </row>
    <row r="157" spans="15:39">
      <c r="O157" t="s">
        <v>1060</v>
      </c>
      <c r="AE157" t="s">
        <v>1637</v>
      </c>
      <c r="AK157" t="s">
        <v>1637</v>
      </c>
      <c r="AM157" t="s">
        <v>976</v>
      </c>
    </row>
    <row r="158" spans="15:39">
      <c r="O158" t="s">
        <v>1093</v>
      </c>
      <c r="AE158" t="s">
        <v>77</v>
      </c>
      <c r="AK158" t="s">
        <v>77</v>
      </c>
      <c r="AM158" t="s">
        <v>1013</v>
      </c>
    </row>
    <row r="159" spans="15:39">
      <c r="O159" t="s">
        <v>1125</v>
      </c>
      <c r="AE159" t="s">
        <v>1638</v>
      </c>
      <c r="AK159" t="s">
        <v>1638</v>
      </c>
      <c r="AM159" t="s">
        <v>1048</v>
      </c>
    </row>
    <row r="160" spans="15:39">
      <c r="O160" t="s">
        <v>820</v>
      </c>
      <c r="AE160" t="s">
        <v>1640</v>
      </c>
      <c r="AK160" t="s">
        <v>1640</v>
      </c>
      <c r="AM160" t="s">
        <v>1082</v>
      </c>
    </row>
    <row r="161" spans="15:39">
      <c r="O161" t="s">
        <v>864</v>
      </c>
      <c r="AE161" t="s">
        <v>1642</v>
      </c>
      <c r="AK161" t="s">
        <v>1642</v>
      </c>
      <c r="AM161" t="s">
        <v>1114</v>
      </c>
    </row>
    <row r="162" spans="15:39">
      <c r="O162" t="s">
        <v>906</v>
      </c>
      <c r="AE162" t="s">
        <v>1644</v>
      </c>
      <c r="AK162" t="s">
        <v>1644</v>
      </c>
      <c r="AM162" t="s">
        <v>1145</v>
      </c>
    </row>
    <row r="163" spans="15:39">
      <c r="O163" t="s">
        <v>948</v>
      </c>
      <c r="AE163" t="s">
        <v>1453</v>
      </c>
      <c r="AK163" t="s">
        <v>1453</v>
      </c>
      <c r="AM163" t="s">
        <v>1169</v>
      </c>
    </row>
    <row r="164" spans="15:39">
      <c r="O164" t="s">
        <v>990</v>
      </c>
      <c r="AE164" t="s">
        <v>1647</v>
      </c>
      <c r="AK164" t="s">
        <v>1647</v>
      </c>
      <c r="AM164" t="s">
        <v>1192</v>
      </c>
    </row>
    <row r="165" spans="15:39">
      <c r="O165" t="s">
        <v>1025</v>
      </c>
      <c r="AE165" t="s">
        <v>1649</v>
      </c>
      <c r="AK165" t="s">
        <v>1649</v>
      </c>
      <c r="AM165" t="s">
        <v>1214</v>
      </c>
    </row>
    <row r="166" spans="15:39">
      <c r="O166" t="s">
        <v>1061</v>
      </c>
      <c r="AE166" t="s">
        <v>1651</v>
      </c>
      <c r="AK166" t="s">
        <v>1651</v>
      </c>
      <c r="AM166" t="s">
        <v>1234</v>
      </c>
    </row>
    <row r="167" spans="15:39">
      <c r="O167" t="s">
        <v>821</v>
      </c>
      <c r="AE167" t="s">
        <v>1653</v>
      </c>
      <c r="AK167" t="s">
        <v>1653</v>
      </c>
      <c r="AM167" t="s">
        <v>1253</v>
      </c>
    </row>
    <row r="168" spans="15:39">
      <c r="O168" t="s">
        <v>865</v>
      </c>
      <c r="AE168" t="s">
        <v>1461</v>
      </c>
      <c r="AK168" t="s">
        <v>1461</v>
      </c>
    </row>
    <row r="169" spans="15:39">
      <c r="O169" t="s">
        <v>907</v>
      </c>
      <c r="AE169" t="s">
        <v>1656</v>
      </c>
      <c r="AK169" t="s">
        <v>1656</v>
      </c>
    </row>
    <row r="170" spans="15:39">
      <c r="O170" t="s">
        <v>949</v>
      </c>
      <c r="AE170" t="s">
        <v>1658</v>
      </c>
      <c r="AK170" t="s">
        <v>1658</v>
      </c>
    </row>
    <row r="171" spans="15:39">
      <c r="O171" t="s">
        <v>991</v>
      </c>
      <c r="AE171" t="s">
        <v>1661</v>
      </c>
      <c r="AK171" t="s">
        <v>1661</v>
      </c>
    </row>
    <row r="172" spans="15:39">
      <c r="O172" t="s">
        <v>1026</v>
      </c>
      <c r="AE172" t="s">
        <v>1664</v>
      </c>
      <c r="AK172" t="s">
        <v>1664</v>
      </c>
    </row>
    <row r="173" spans="15:39">
      <c r="O173" t="s">
        <v>1062</v>
      </c>
      <c r="AE173" t="s">
        <v>806</v>
      </c>
      <c r="AK173" t="s">
        <v>806</v>
      </c>
    </row>
    <row r="174" spans="15:39">
      <c r="O174" t="s">
        <v>1095</v>
      </c>
      <c r="AE174" t="s">
        <v>850</v>
      </c>
      <c r="AK174" t="s">
        <v>850</v>
      </c>
    </row>
    <row r="175" spans="15:39">
      <c r="O175" t="s">
        <v>1126</v>
      </c>
      <c r="AE175" t="s">
        <v>891</v>
      </c>
      <c r="AK175" t="s">
        <v>891</v>
      </c>
    </row>
    <row r="176" spans="15:39">
      <c r="O176" t="s">
        <v>1155</v>
      </c>
      <c r="AE176" t="s">
        <v>933</v>
      </c>
      <c r="AK176" t="s">
        <v>933</v>
      </c>
    </row>
    <row r="177" spans="15:37">
      <c r="O177" t="s">
        <v>822</v>
      </c>
      <c r="AE177" t="s">
        <v>975</v>
      </c>
      <c r="AK177" t="s">
        <v>975</v>
      </c>
    </row>
    <row r="178" spans="15:37">
      <c r="O178" t="s">
        <v>866</v>
      </c>
      <c r="AE178" t="s">
        <v>1012</v>
      </c>
      <c r="AK178" t="s">
        <v>1012</v>
      </c>
    </row>
    <row r="179" spans="15:37">
      <c r="O179" t="s">
        <v>908</v>
      </c>
      <c r="AE179" t="s">
        <v>72</v>
      </c>
      <c r="AK179" t="s">
        <v>72</v>
      </c>
    </row>
    <row r="180" spans="15:37">
      <c r="O180" t="s">
        <v>950</v>
      </c>
      <c r="AE180" t="s">
        <v>1081</v>
      </c>
      <c r="AK180" t="s">
        <v>1081</v>
      </c>
    </row>
    <row r="181" spans="15:37">
      <c r="O181" t="s">
        <v>1886</v>
      </c>
      <c r="AE181" t="s">
        <v>1113</v>
      </c>
      <c r="AK181" t="s">
        <v>1113</v>
      </c>
    </row>
    <row r="182" spans="15:37">
      <c r="O182" t="s">
        <v>1063</v>
      </c>
      <c r="AE182" t="s">
        <v>1144</v>
      </c>
      <c r="AK182" t="s">
        <v>1144</v>
      </c>
    </row>
    <row r="183" spans="15:37">
      <c r="O183" t="s">
        <v>1096</v>
      </c>
      <c r="AE183" t="s">
        <v>1168</v>
      </c>
      <c r="AK183" t="s">
        <v>1168</v>
      </c>
    </row>
    <row r="184" spans="15:37">
      <c r="O184" t="s">
        <v>823</v>
      </c>
      <c r="AE184" t="s">
        <v>1191</v>
      </c>
      <c r="AK184" t="s">
        <v>1191</v>
      </c>
    </row>
    <row r="185" spans="15:37">
      <c r="O185" t="s">
        <v>867</v>
      </c>
      <c r="AE185" t="s">
        <v>1213</v>
      </c>
      <c r="AK185" t="s">
        <v>1213</v>
      </c>
    </row>
    <row r="186" spans="15:37">
      <c r="O186" t="s">
        <v>909</v>
      </c>
      <c r="AE186" t="s">
        <v>1233</v>
      </c>
      <c r="AK186" t="s">
        <v>1233</v>
      </c>
    </row>
    <row r="187" spans="15:37">
      <c r="O187" t="s">
        <v>1887</v>
      </c>
      <c r="AE187" t="s">
        <v>1252</v>
      </c>
      <c r="AK187" t="s">
        <v>1252</v>
      </c>
    </row>
    <row r="188" spans="15:37">
      <c r="O188" t="s">
        <v>1888</v>
      </c>
      <c r="AE188" t="s">
        <v>1270</v>
      </c>
      <c r="AK188" t="s">
        <v>1270</v>
      </c>
    </row>
    <row r="189" spans="15:37">
      <c r="O189" t="s">
        <v>1097</v>
      </c>
      <c r="AE189" t="s">
        <v>1285</v>
      </c>
      <c r="AK189" t="s">
        <v>1285</v>
      </c>
    </row>
    <row r="190" spans="15:37">
      <c r="O190" t="s">
        <v>1127</v>
      </c>
      <c r="AE190" t="s">
        <v>1300</v>
      </c>
      <c r="AK190" t="s">
        <v>1300</v>
      </c>
    </row>
    <row r="191" spans="15:37">
      <c r="O191" t="s">
        <v>1156</v>
      </c>
      <c r="AE191" t="s">
        <v>1315</v>
      </c>
      <c r="AK191" t="s">
        <v>1315</v>
      </c>
    </row>
    <row r="192" spans="15:37">
      <c r="O192" t="s">
        <v>1179</v>
      </c>
      <c r="AE192" t="s">
        <v>1328</v>
      </c>
      <c r="AK192" t="s">
        <v>1328</v>
      </c>
    </row>
    <row r="193" spans="15:37">
      <c r="O193" t="s">
        <v>1202</v>
      </c>
      <c r="AE193" t="s">
        <v>1338</v>
      </c>
      <c r="AK193" t="s">
        <v>1338</v>
      </c>
    </row>
    <row r="194" spans="15:37">
      <c r="O194" t="s">
        <v>868</v>
      </c>
      <c r="AE194" t="s">
        <v>1349</v>
      </c>
      <c r="AK194" t="s">
        <v>1349</v>
      </c>
    </row>
    <row r="195" spans="15:37">
      <c r="O195" t="s">
        <v>910</v>
      </c>
      <c r="AE195" t="s">
        <v>1359</v>
      </c>
      <c r="AK195" t="s">
        <v>1359</v>
      </c>
    </row>
    <row r="196" spans="15:37">
      <c r="O196" t="s">
        <v>952</v>
      </c>
      <c r="AE196" t="s">
        <v>1370</v>
      </c>
      <c r="AK196" t="s">
        <v>1370</v>
      </c>
    </row>
    <row r="197" spans="15:37">
      <c r="O197" t="s">
        <v>994</v>
      </c>
      <c r="AE197" t="s">
        <v>1382</v>
      </c>
      <c r="AK197" t="s">
        <v>1382</v>
      </c>
    </row>
    <row r="198" spans="15:37">
      <c r="O198" t="s">
        <v>1029</v>
      </c>
      <c r="AE198" t="s">
        <v>1390</v>
      </c>
      <c r="AK198" t="s">
        <v>1390</v>
      </c>
    </row>
    <row r="199" spans="15:37">
      <c r="O199" t="s">
        <v>1065</v>
      </c>
      <c r="AE199" t="s">
        <v>1399</v>
      </c>
      <c r="AK199" t="s">
        <v>1399</v>
      </c>
    </row>
    <row r="200" spans="15:37">
      <c r="O200" t="s">
        <v>1098</v>
      </c>
      <c r="AE200" t="s">
        <v>1409</v>
      </c>
      <c r="AK200" t="s">
        <v>1409</v>
      </c>
    </row>
    <row r="201" spans="15:37">
      <c r="O201" t="s">
        <v>1128</v>
      </c>
      <c r="AE201" t="s">
        <v>1421</v>
      </c>
      <c r="AK201" t="s">
        <v>1421</v>
      </c>
    </row>
    <row r="202" spans="15:37">
      <c r="O202" t="s">
        <v>1157</v>
      </c>
      <c r="AE202" t="s">
        <v>1433</v>
      </c>
      <c r="AK202" t="s">
        <v>1433</v>
      </c>
    </row>
    <row r="203" spans="15:37">
      <c r="O203" t="s">
        <v>1180</v>
      </c>
      <c r="AE203" t="s">
        <v>1441</v>
      </c>
      <c r="AK203" t="s">
        <v>1441</v>
      </c>
    </row>
    <row r="204" spans="15:37">
      <c r="O204" t="s">
        <v>1889</v>
      </c>
      <c r="AE204" t="s">
        <v>1447</v>
      </c>
      <c r="AK204" t="s">
        <v>1447</v>
      </c>
    </row>
    <row r="205" spans="15:37">
      <c r="O205" t="s">
        <v>995</v>
      </c>
      <c r="AE205" t="s">
        <v>1455</v>
      </c>
      <c r="AK205" t="s">
        <v>1455</v>
      </c>
    </row>
    <row r="206" spans="15:37">
      <c r="O206" t="s">
        <v>1030</v>
      </c>
      <c r="AE206" t="s">
        <v>1463</v>
      </c>
      <c r="AK206" t="s">
        <v>1463</v>
      </c>
    </row>
    <row r="207" spans="15:37">
      <c r="O207" t="s">
        <v>1890</v>
      </c>
      <c r="AE207" t="s">
        <v>1469</v>
      </c>
      <c r="AK207" t="s">
        <v>1469</v>
      </c>
    </row>
    <row r="208" spans="15:37">
      <c r="O208" t="s">
        <v>1129</v>
      </c>
      <c r="AE208" t="s">
        <v>1474</v>
      </c>
      <c r="AK208" t="s">
        <v>1474</v>
      </c>
    </row>
    <row r="209" spans="15:37">
      <c r="O209" t="s">
        <v>1158</v>
      </c>
      <c r="AE209" t="s">
        <v>1481</v>
      </c>
      <c r="AK209" t="s">
        <v>1481</v>
      </c>
    </row>
    <row r="210" spans="15:37">
      <c r="O210" t="s">
        <v>1891</v>
      </c>
      <c r="AE210" t="s">
        <v>1487</v>
      </c>
      <c r="AK210" t="s">
        <v>1487</v>
      </c>
    </row>
    <row r="211" spans="15:37">
      <c r="O211" t="s">
        <v>1222</v>
      </c>
      <c r="AE211" t="s">
        <v>1494</v>
      </c>
      <c r="AK211" t="s">
        <v>1494</v>
      </c>
    </row>
    <row r="212" spans="15:37">
      <c r="O212" t="s">
        <v>1221</v>
      </c>
      <c r="AE212" t="s">
        <v>1499</v>
      </c>
      <c r="AK212" t="s">
        <v>1499</v>
      </c>
    </row>
    <row r="213" spans="15:37">
      <c r="O213" t="s">
        <v>1892</v>
      </c>
      <c r="AE213" t="s">
        <v>1504</v>
      </c>
      <c r="AK213" t="s">
        <v>1504</v>
      </c>
    </row>
    <row r="214" spans="15:37">
      <c r="O214" t="s">
        <v>1260</v>
      </c>
      <c r="AE214" t="s">
        <v>1512</v>
      </c>
      <c r="AK214" t="s">
        <v>1512</v>
      </c>
    </row>
    <row r="215" spans="15:37">
      <c r="O215" t="s">
        <v>1893</v>
      </c>
      <c r="AE215" t="s">
        <v>1519</v>
      </c>
      <c r="AK215" t="s">
        <v>1519</v>
      </c>
    </row>
    <row r="216" spans="15:37">
      <c r="O216" t="s">
        <v>1894</v>
      </c>
      <c r="AE216" t="s">
        <v>1525</v>
      </c>
      <c r="AK216" t="s">
        <v>1525</v>
      </c>
    </row>
    <row r="217" spans="15:37">
      <c r="O217" t="s">
        <v>1895</v>
      </c>
      <c r="AE217" t="s">
        <v>1531</v>
      </c>
      <c r="AK217" t="s">
        <v>1531</v>
      </c>
    </row>
    <row r="218" spans="15:37">
      <c r="O218" t="s">
        <v>1896</v>
      </c>
      <c r="AE218" t="s">
        <v>1523</v>
      </c>
      <c r="AK218" t="s">
        <v>1523</v>
      </c>
    </row>
    <row r="219" spans="15:37">
      <c r="O219" t="s">
        <v>1897</v>
      </c>
      <c r="AE219" t="s">
        <v>1693</v>
      </c>
      <c r="AK219" t="s">
        <v>1693</v>
      </c>
    </row>
    <row r="220" spans="15:37">
      <c r="O220" t="s">
        <v>1898</v>
      </c>
      <c r="AE220" t="s">
        <v>1694</v>
      </c>
      <c r="AK220" t="s">
        <v>1694</v>
      </c>
    </row>
    <row r="221" spans="15:37">
      <c r="O221" t="s">
        <v>1899</v>
      </c>
      <c r="AE221" t="s">
        <v>1695</v>
      </c>
      <c r="AK221" t="s">
        <v>1695</v>
      </c>
    </row>
    <row r="222" spans="15:37">
      <c r="O222" t="s">
        <v>1900</v>
      </c>
      <c r="AE222" t="s">
        <v>1696</v>
      </c>
      <c r="AK222" t="s">
        <v>1696</v>
      </c>
    </row>
    <row r="223" spans="15:37">
      <c r="O223" t="s">
        <v>1901</v>
      </c>
      <c r="AE223" t="s">
        <v>807</v>
      </c>
      <c r="AK223" t="s">
        <v>807</v>
      </c>
    </row>
    <row r="224" spans="15:37">
      <c r="O224" t="s">
        <v>1902</v>
      </c>
      <c r="AE224" t="s">
        <v>851</v>
      </c>
      <c r="AK224" t="s">
        <v>851</v>
      </c>
    </row>
    <row r="225" spans="15:37">
      <c r="O225" t="s">
        <v>1903</v>
      </c>
      <c r="AE225" t="s">
        <v>892</v>
      </c>
      <c r="AK225" t="s">
        <v>892</v>
      </c>
    </row>
    <row r="226" spans="15:37">
      <c r="O226" t="s">
        <v>121</v>
      </c>
      <c r="AE226" t="s">
        <v>934</v>
      </c>
      <c r="AK226" t="s">
        <v>934</v>
      </c>
    </row>
    <row r="227" spans="15:37">
      <c r="O227" t="s">
        <v>1904</v>
      </c>
      <c r="AE227" t="s">
        <v>976</v>
      </c>
      <c r="AK227" t="s">
        <v>976</v>
      </c>
    </row>
    <row r="228" spans="15:37">
      <c r="O228" t="s">
        <v>1905</v>
      </c>
      <c r="AE228" t="s">
        <v>1013</v>
      </c>
      <c r="AK228" t="s">
        <v>1013</v>
      </c>
    </row>
    <row r="229" spans="15:37">
      <c r="O229" t="s">
        <v>1906</v>
      </c>
      <c r="AE229" t="s">
        <v>1048</v>
      </c>
      <c r="AK229" t="s">
        <v>1048</v>
      </c>
    </row>
    <row r="230" spans="15:37">
      <c r="O230" t="s">
        <v>1907</v>
      </c>
      <c r="AE230" t="s">
        <v>1082</v>
      </c>
      <c r="AK230" t="s">
        <v>1082</v>
      </c>
    </row>
    <row r="231" spans="15:37">
      <c r="O231" t="s">
        <v>1908</v>
      </c>
      <c r="AE231" t="s">
        <v>1114</v>
      </c>
      <c r="AK231" t="s">
        <v>1114</v>
      </c>
    </row>
    <row r="232" spans="15:37">
      <c r="O232" t="s">
        <v>1909</v>
      </c>
      <c r="AE232" t="s">
        <v>1145</v>
      </c>
      <c r="AK232" t="s">
        <v>1145</v>
      </c>
    </row>
    <row r="233" spans="15:37">
      <c r="O233" t="s">
        <v>1910</v>
      </c>
      <c r="AE233" t="s">
        <v>1169</v>
      </c>
      <c r="AK233" t="s">
        <v>1169</v>
      </c>
    </row>
    <row r="234" spans="15:37">
      <c r="O234" t="s">
        <v>1911</v>
      </c>
      <c r="AE234" t="s">
        <v>1192</v>
      </c>
      <c r="AK234" t="s">
        <v>1192</v>
      </c>
    </row>
    <row r="235" spans="15:37">
      <c r="O235" t="s">
        <v>1912</v>
      </c>
      <c r="AE235" t="s">
        <v>1214</v>
      </c>
      <c r="AK235" t="s">
        <v>1214</v>
      </c>
    </row>
    <row r="236" spans="15:37">
      <c r="O236" t="s">
        <v>1913</v>
      </c>
      <c r="AE236" t="s">
        <v>1234</v>
      </c>
      <c r="AK236" t="s">
        <v>1234</v>
      </c>
    </row>
    <row r="237" spans="15:37">
      <c r="O237" t="s">
        <v>1914</v>
      </c>
      <c r="AE237" t="s">
        <v>1253</v>
      </c>
      <c r="AK237" t="s">
        <v>1253</v>
      </c>
    </row>
    <row r="238" spans="15:37">
      <c r="O238" t="s">
        <v>1915</v>
      </c>
      <c r="AE238" t="s">
        <v>808</v>
      </c>
      <c r="AK238" t="s">
        <v>808</v>
      </c>
    </row>
    <row r="239" spans="15:37">
      <c r="O239" t="s">
        <v>1916</v>
      </c>
      <c r="AE239" t="s">
        <v>852</v>
      </c>
      <c r="AK239" t="s">
        <v>852</v>
      </c>
    </row>
    <row r="240" spans="15:37">
      <c r="O240" t="s">
        <v>1917</v>
      </c>
      <c r="AE240" t="s">
        <v>893</v>
      </c>
      <c r="AK240" t="s">
        <v>893</v>
      </c>
    </row>
    <row r="241" spans="15:37">
      <c r="O241" t="s">
        <v>1918</v>
      </c>
      <c r="AE241" t="s">
        <v>935</v>
      </c>
      <c r="AK241" t="s">
        <v>935</v>
      </c>
    </row>
    <row r="242" spans="15:37">
      <c r="O242" t="s">
        <v>1919</v>
      </c>
      <c r="AE242" t="s">
        <v>977</v>
      </c>
      <c r="AK242" t="s">
        <v>977</v>
      </c>
    </row>
    <row r="243" spans="15:37">
      <c r="O243" t="s">
        <v>1920</v>
      </c>
      <c r="AE243" t="s">
        <v>1014</v>
      </c>
      <c r="AK243" t="s">
        <v>1014</v>
      </c>
    </row>
    <row r="244" spans="15:37">
      <c r="O244" t="s">
        <v>1921</v>
      </c>
      <c r="AE244" t="s">
        <v>1049</v>
      </c>
      <c r="AK244" t="s">
        <v>1049</v>
      </c>
    </row>
    <row r="245" spans="15:37">
      <c r="O245" t="s">
        <v>1922</v>
      </c>
      <c r="AE245" t="s">
        <v>1083</v>
      </c>
      <c r="AK245" t="s">
        <v>1083</v>
      </c>
    </row>
    <row r="246" spans="15:37">
      <c r="O246" t="s">
        <v>1923</v>
      </c>
      <c r="AE246" t="s">
        <v>1115</v>
      </c>
      <c r="AK246" t="s">
        <v>1115</v>
      </c>
    </row>
    <row r="247" spans="15:37">
      <c r="O247" t="s">
        <v>1924</v>
      </c>
      <c r="AE247" t="s">
        <v>1146</v>
      </c>
      <c r="AK247" t="s">
        <v>1146</v>
      </c>
    </row>
    <row r="248" spans="15:37">
      <c r="O248" t="s">
        <v>1290</v>
      </c>
      <c r="AE248" t="s">
        <v>1170</v>
      </c>
      <c r="AK248" t="s">
        <v>1170</v>
      </c>
    </row>
    <row r="249" spans="15:37">
      <c r="O249" t="s">
        <v>1094</v>
      </c>
      <c r="AE249" t="s">
        <v>1193</v>
      </c>
      <c r="AK249" t="s">
        <v>1193</v>
      </c>
    </row>
    <row r="250" spans="15:37">
      <c r="O250" t="s">
        <v>1069</v>
      </c>
      <c r="AE250" t="s">
        <v>1215</v>
      </c>
      <c r="AK250" t="s">
        <v>1215</v>
      </c>
    </row>
    <row r="251" spans="15:37">
      <c r="O251" t="s">
        <v>1925</v>
      </c>
      <c r="AE251" t="s">
        <v>1235</v>
      </c>
      <c r="AK251" t="s">
        <v>1235</v>
      </c>
    </row>
    <row r="252" spans="15:37">
      <c r="O252" t="s">
        <v>2121</v>
      </c>
      <c r="AE252" t="s">
        <v>1254</v>
      </c>
      <c r="AK252" t="s">
        <v>1254</v>
      </c>
    </row>
    <row r="253" spans="15:37">
      <c r="AE253" t="s">
        <v>1271</v>
      </c>
      <c r="AK253" t="s">
        <v>1271</v>
      </c>
    </row>
    <row r="254" spans="15:37">
      <c r="AE254" t="s">
        <v>1286</v>
      </c>
      <c r="AK254" t="s">
        <v>1286</v>
      </c>
    </row>
    <row r="255" spans="15:37">
      <c r="AE255" t="s">
        <v>1301</v>
      </c>
      <c r="AK255" t="s">
        <v>1301</v>
      </c>
    </row>
    <row r="256" spans="15:37">
      <c r="AE256" t="s">
        <v>1316</v>
      </c>
      <c r="AK256" t="s">
        <v>1316</v>
      </c>
    </row>
    <row r="257" spans="31:37">
      <c r="AE257" t="s">
        <v>1329</v>
      </c>
      <c r="AK257" t="s">
        <v>1329</v>
      </c>
    </row>
    <row r="258" spans="31:37">
      <c r="AE258" t="s">
        <v>1339</v>
      </c>
      <c r="AK258" t="s">
        <v>1339</v>
      </c>
    </row>
    <row r="259" spans="31:37">
      <c r="AE259" t="s">
        <v>1350</v>
      </c>
      <c r="AK259" t="s">
        <v>1350</v>
      </c>
    </row>
    <row r="260" spans="31:37">
      <c r="AE260" t="s">
        <v>1360</v>
      </c>
      <c r="AK260" t="s">
        <v>1360</v>
      </c>
    </row>
    <row r="261" spans="31:37">
      <c r="AE261" t="s">
        <v>1371</v>
      </c>
      <c r="AK261" t="s">
        <v>1371</v>
      </c>
    </row>
    <row r="262" spans="31:37">
      <c r="AE262" t="s">
        <v>1383</v>
      </c>
      <c r="AK262" t="s">
        <v>1383</v>
      </c>
    </row>
    <row r="263" spans="31:37">
      <c r="AE263" t="s">
        <v>1391</v>
      </c>
      <c r="AK263" t="s">
        <v>1391</v>
      </c>
    </row>
    <row r="264" spans="31:37">
      <c r="AE264" t="s">
        <v>1400</v>
      </c>
      <c r="AK264" t="s">
        <v>1400</v>
      </c>
    </row>
    <row r="265" spans="31:37">
      <c r="AE265" t="s">
        <v>1410</v>
      </c>
      <c r="AK265" t="s">
        <v>1410</v>
      </c>
    </row>
    <row r="266" spans="31:37">
      <c r="AE266" t="s">
        <v>1422</v>
      </c>
      <c r="AK266" t="s">
        <v>1422</v>
      </c>
    </row>
    <row r="267" spans="31:37">
      <c r="AE267" t="s">
        <v>1434</v>
      </c>
      <c r="AK267" t="s">
        <v>1434</v>
      </c>
    </row>
    <row r="268" spans="31:37">
      <c r="AE268" t="s">
        <v>809</v>
      </c>
      <c r="AK268" t="s">
        <v>809</v>
      </c>
    </row>
    <row r="269" spans="31:37">
      <c r="AE269" t="s">
        <v>853</v>
      </c>
      <c r="AK269" t="s">
        <v>853</v>
      </c>
    </row>
    <row r="270" spans="31:37">
      <c r="AE270" t="s">
        <v>894</v>
      </c>
      <c r="AK270" t="s">
        <v>894</v>
      </c>
    </row>
    <row r="271" spans="31:37">
      <c r="AE271" t="s">
        <v>936</v>
      </c>
      <c r="AK271" t="s">
        <v>936</v>
      </c>
    </row>
    <row r="272" spans="31:37">
      <c r="AE272" t="s">
        <v>978</v>
      </c>
      <c r="AK272" t="s">
        <v>978</v>
      </c>
    </row>
    <row r="273" spans="31:37">
      <c r="AE273" t="s">
        <v>81</v>
      </c>
      <c r="AK273" t="s">
        <v>81</v>
      </c>
    </row>
    <row r="274" spans="31:37">
      <c r="AE274" t="s">
        <v>1050</v>
      </c>
      <c r="AK274" t="s">
        <v>1050</v>
      </c>
    </row>
    <row r="275" spans="31:37">
      <c r="AE275" t="s">
        <v>1084</v>
      </c>
      <c r="AK275" t="s">
        <v>1084</v>
      </c>
    </row>
    <row r="276" spans="31:37">
      <c r="AE276" t="s">
        <v>1116</v>
      </c>
      <c r="AK276" t="s">
        <v>1116</v>
      </c>
    </row>
    <row r="277" spans="31:37">
      <c r="AE277" t="s">
        <v>1147</v>
      </c>
      <c r="AK277" t="s">
        <v>1147</v>
      </c>
    </row>
    <row r="278" spans="31:37">
      <c r="AE278" t="s">
        <v>1171</v>
      </c>
      <c r="AK278" t="s">
        <v>1171</v>
      </c>
    </row>
    <row r="279" spans="31:37">
      <c r="AE279" t="s">
        <v>1194</v>
      </c>
      <c r="AK279" t="s">
        <v>1194</v>
      </c>
    </row>
    <row r="280" spans="31:37">
      <c r="AE280" t="s">
        <v>1216</v>
      </c>
      <c r="AK280" t="s">
        <v>1216</v>
      </c>
    </row>
    <row r="281" spans="31:37">
      <c r="AE281" t="s">
        <v>1236</v>
      </c>
      <c r="AK281" t="s">
        <v>1236</v>
      </c>
    </row>
    <row r="282" spans="31:37">
      <c r="AE282" t="s">
        <v>1255</v>
      </c>
      <c r="AK282" t="s">
        <v>1255</v>
      </c>
    </row>
    <row r="283" spans="31:37">
      <c r="AE283" t="s">
        <v>1272</v>
      </c>
      <c r="AK283" t="s">
        <v>1272</v>
      </c>
    </row>
    <row r="284" spans="31:37">
      <c r="AE284" t="s">
        <v>1287</v>
      </c>
      <c r="AK284" t="s">
        <v>1287</v>
      </c>
    </row>
    <row r="285" spans="31:37">
      <c r="AE285" t="s">
        <v>1302</v>
      </c>
      <c r="AK285" t="s">
        <v>1302</v>
      </c>
    </row>
    <row r="286" spans="31:37">
      <c r="AE286" t="s">
        <v>1317</v>
      </c>
      <c r="AK286" t="s">
        <v>1317</v>
      </c>
    </row>
    <row r="287" spans="31:37">
      <c r="AE287" t="s">
        <v>1330</v>
      </c>
      <c r="AK287" t="s">
        <v>1330</v>
      </c>
    </row>
    <row r="288" spans="31:37">
      <c r="AE288" t="s">
        <v>1340</v>
      </c>
      <c r="AK288" t="s">
        <v>1340</v>
      </c>
    </row>
    <row r="289" spans="31:37">
      <c r="AE289" t="s">
        <v>1351</v>
      </c>
      <c r="AK289" t="s">
        <v>1351</v>
      </c>
    </row>
    <row r="290" spans="31:37">
      <c r="AE290" t="s">
        <v>1361</v>
      </c>
      <c r="AK290" t="s">
        <v>1361</v>
      </c>
    </row>
    <row r="291" spans="31:37">
      <c r="AE291" t="s">
        <v>1372</v>
      </c>
      <c r="AK291" t="s">
        <v>1372</v>
      </c>
    </row>
    <row r="292" spans="31:37">
      <c r="AE292" t="s">
        <v>1384</v>
      </c>
      <c r="AK292" t="s">
        <v>1384</v>
      </c>
    </row>
    <row r="293" spans="31:37">
      <c r="AE293" t="s">
        <v>1392</v>
      </c>
      <c r="AK293" t="s">
        <v>1392</v>
      </c>
    </row>
    <row r="294" spans="31:37">
      <c r="AE294" t="s">
        <v>1401</v>
      </c>
      <c r="AK294" t="s">
        <v>1401</v>
      </c>
    </row>
    <row r="295" spans="31:37">
      <c r="AE295" t="s">
        <v>1411</v>
      </c>
      <c r="AK295" t="s">
        <v>1411</v>
      </c>
    </row>
    <row r="296" spans="31:37">
      <c r="AE296" t="s">
        <v>1423</v>
      </c>
      <c r="AK296" t="s">
        <v>1423</v>
      </c>
    </row>
    <row r="297" spans="31:37">
      <c r="AE297" t="s">
        <v>1435</v>
      </c>
      <c r="AK297" t="s">
        <v>1435</v>
      </c>
    </row>
    <row r="298" spans="31:37">
      <c r="AE298" t="s">
        <v>810</v>
      </c>
      <c r="AK298" t="s">
        <v>810</v>
      </c>
    </row>
    <row r="299" spans="31:37">
      <c r="AE299" t="s">
        <v>854</v>
      </c>
      <c r="AK299" t="s">
        <v>854</v>
      </c>
    </row>
    <row r="300" spans="31:37">
      <c r="AE300" t="s">
        <v>895</v>
      </c>
      <c r="AK300" t="s">
        <v>895</v>
      </c>
    </row>
    <row r="301" spans="31:37">
      <c r="AE301" t="s">
        <v>937</v>
      </c>
      <c r="AK301" t="s">
        <v>937</v>
      </c>
    </row>
    <row r="302" spans="31:37">
      <c r="AE302" t="s">
        <v>979</v>
      </c>
      <c r="AK302" t="s">
        <v>979</v>
      </c>
    </row>
    <row r="303" spans="31:37">
      <c r="AE303" t="s">
        <v>79</v>
      </c>
      <c r="AK303" t="s">
        <v>79</v>
      </c>
    </row>
    <row r="304" spans="31:37">
      <c r="AE304" t="s">
        <v>855</v>
      </c>
      <c r="AK304" t="s">
        <v>855</v>
      </c>
    </row>
    <row r="305" spans="31:37">
      <c r="AE305" t="s">
        <v>896</v>
      </c>
      <c r="AK305" t="s">
        <v>896</v>
      </c>
    </row>
    <row r="306" spans="31:37">
      <c r="AE306" t="s">
        <v>938</v>
      </c>
      <c r="AK306" t="s">
        <v>938</v>
      </c>
    </row>
    <row r="307" spans="31:37">
      <c r="AE307" t="s">
        <v>980</v>
      </c>
      <c r="AK307" t="s">
        <v>980</v>
      </c>
    </row>
    <row r="308" spans="31:37">
      <c r="AE308" t="s">
        <v>1015</v>
      </c>
      <c r="AK308" t="s">
        <v>1015</v>
      </c>
    </row>
    <row r="309" spans="31:37">
      <c r="AE309" t="s">
        <v>1051</v>
      </c>
      <c r="AK309" t="s">
        <v>1051</v>
      </c>
    </row>
    <row r="310" spans="31:37">
      <c r="AE310" t="s">
        <v>1085</v>
      </c>
      <c r="AK310" t="s">
        <v>1085</v>
      </c>
    </row>
    <row r="311" spans="31:37">
      <c r="AE311" t="s">
        <v>1117</v>
      </c>
      <c r="AK311" t="s">
        <v>1117</v>
      </c>
    </row>
    <row r="312" spans="31:37">
      <c r="AE312" t="s">
        <v>1148</v>
      </c>
      <c r="AK312" t="s">
        <v>1148</v>
      </c>
    </row>
    <row r="313" spans="31:37">
      <c r="AE313" t="s">
        <v>1172</v>
      </c>
      <c r="AK313" t="s">
        <v>1172</v>
      </c>
    </row>
    <row r="314" spans="31:37">
      <c r="AE314" t="s">
        <v>1195</v>
      </c>
      <c r="AK314" t="s">
        <v>1195</v>
      </c>
    </row>
    <row r="315" spans="31:37">
      <c r="AE315" t="s">
        <v>1217</v>
      </c>
      <c r="AK315" t="s">
        <v>1217</v>
      </c>
    </row>
    <row r="316" spans="31:37">
      <c r="AE316" t="s">
        <v>1237</v>
      </c>
      <c r="AK316" t="s">
        <v>1237</v>
      </c>
    </row>
    <row r="317" spans="31:37">
      <c r="AE317" t="s">
        <v>1256</v>
      </c>
      <c r="AK317" t="s">
        <v>1256</v>
      </c>
    </row>
    <row r="318" spans="31:37">
      <c r="AE318" t="s">
        <v>1273</v>
      </c>
      <c r="AK318" t="s">
        <v>1273</v>
      </c>
    </row>
    <row r="319" spans="31:37">
      <c r="AE319" t="s">
        <v>1288</v>
      </c>
      <c r="AK319" t="s">
        <v>1288</v>
      </c>
    </row>
    <row r="320" spans="31:37">
      <c r="AE320" t="s">
        <v>1303</v>
      </c>
      <c r="AK320" t="s">
        <v>1303</v>
      </c>
    </row>
    <row r="321" spans="31:37">
      <c r="AE321" t="s">
        <v>1318</v>
      </c>
      <c r="AK321" t="s">
        <v>1318</v>
      </c>
    </row>
    <row r="322" spans="31:37">
      <c r="AE322" t="s">
        <v>1331</v>
      </c>
      <c r="AK322" t="s">
        <v>1331</v>
      </c>
    </row>
    <row r="323" spans="31:37">
      <c r="AE323" t="s">
        <v>83</v>
      </c>
      <c r="AK323" t="s">
        <v>83</v>
      </c>
    </row>
    <row r="324" spans="31:37">
      <c r="AE324" t="s">
        <v>1639</v>
      </c>
      <c r="AK324" t="s">
        <v>1639</v>
      </c>
    </row>
    <row r="325" spans="31:37">
      <c r="AE325" t="s">
        <v>1641</v>
      </c>
      <c r="AK325" t="s">
        <v>1641</v>
      </c>
    </row>
    <row r="326" spans="31:37">
      <c r="AE326" t="s">
        <v>1643</v>
      </c>
      <c r="AK326" t="s">
        <v>1643</v>
      </c>
    </row>
    <row r="327" spans="31:37">
      <c r="AE327" t="s">
        <v>1645</v>
      </c>
      <c r="AK327" t="s">
        <v>1645</v>
      </c>
    </row>
    <row r="328" spans="31:37">
      <c r="AE328" t="s">
        <v>811</v>
      </c>
      <c r="AK328" t="s">
        <v>811</v>
      </c>
    </row>
    <row r="329" spans="31:37">
      <c r="AE329" t="s">
        <v>856</v>
      </c>
      <c r="AK329" t="s">
        <v>856</v>
      </c>
    </row>
    <row r="330" spans="31:37">
      <c r="AE330" t="s">
        <v>897</v>
      </c>
      <c r="AK330" t="s">
        <v>897</v>
      </c>
    </row>
    <row r="331" spans="31:37">
      <c r="AE331" t="s">
        <v>939</v>
      </c>
      <c r="AK331" t="s">
        <v>939</v>
      </c>
    </row>
    <row r="332" spans="31:37">
      <c r="AE332" t="s">
        <v>981</v>
      </c>
      <c r="AK332" t="s">
        <v>981</v>
      </c>
    </row>
    <row r="333" spans="31:37">
      <c r="AE333" t="s">
        <v>1016</v>
      </c>
      <c r="AK333" t="s">
        <v>1016</v>
      </c>
    </row>
    <row r="334" spans="31:37">
      <c r="AE334" t="s">
        <v>1052</v>
      </c>
      <c r="AK334" t="s">
        <v>1052</v>
      </c>
    </row>
    <row r="335" spans="31:37">
      <c r="AE335" t="s">
        <v>1086</v>
      </c>
      <c r="AK335" t="s">
        <v>1086</v>
      </c>
    </row>
    <row r="336" spans="31:37">
      <c r="AE336" t="s">
        <v>1118</v>
      </c>
      <c r="AK336" t="s">
        <v>1118</v>
      </c>
    </row>
    <row r="337" spans="31:37">
      <c r="AE337" t="s">
        <v>1149</v>
      </c>
      <c r="AK337" t="s">
        <v>1149</v>
      </c>
    </row>
    <row r="338" spans="31:37">
      <c r="AE338" t="s">
        <v>1173</v>
      </c>
      <c r="AK338" t="s">
        <v>1173</v>
      </c>
    </row>
    <row r="339" spans="31:37">
      <c r="AE339" t="s">
        <v>1196</v>
      </c>
      <c r="AK339" t="s">
        <v>1196</v>
      </c>
    </row>
    <row r="340" spans="31:37">
      <c r="AE340" t="s">
        <v>812</v>
      </c>
      <c r="AK340" t="s">
        <v>812</v>
      </c>
    </row>
    <row r="341" spans="31:37">
      <c r="AE341" t="s">
        <v>857</v>
      </c>
      <c r="AK341" t="s">
        <v>857</v>
      </c>
    </row>
    <row r="342" spans="31:37">
      <c r="AE342" t="s">
        <v>898</v>
      </c>
      <c r="AK342" t="s">
        <v>898</v>
      </c>
    </row>
    <row r="343" spans="31:37">
      <c r="AE343" t="s">
        <v>2123</v>
      </c>
      <c r="AK343" t="s">
        <v>2123</v>
      </c>
    </row>
    <row r="344" spans="31:37">
      <c r="AE344" t="s">
        <v>2124</v>
      </c>
      <c r="AK344" t="s">
        <v>2124</v>
      </c>
    </row>
    <row r="345" spans="31:37">
      <c r="AE345" t="s">
        <v>2125</v>
      </c>
      <c r="AK345" t="s">
        <v>2125</v>
      </c>
    </row>
    <row r="346" spans="31:37">
      <c r="AE346" t="s">
        <v>940</v>
      </c>
      <c r="AK346" t="s">
        <v>940</v>
      </c>
    </row>
    <row r="347" spans="31:37">
      <c r="AE347" t="s">
        <v>982</v>
      </c>
      <c r="AK347" t="s">
        <v>982</v>
      </c>
    </row>
    <row r="348" spans="31:37">
      <c r="AE348" t="s">
        <v>1017</v>
      </c>
      <c r="AK348" t="s">
        <v>1017</v>
      </c>
    </row>
    <row r="349" spans="31:37">
      <c r="AE349" t="s">
        <v>1053</v>
      </c>
      <c r="AK349" t="s">
        <v>1053</v>
      </c>
    </row>
    <row r="350" spans="31:37">
      <c r="AE350" t="s">
        <v>1087</v>
      </c>
      <c r="AK350" t="s">
        <v>1087</v>
      </c>
    </row>
    <row r="351" spans="31:37">
      <c r="AE351" t="s">
        <v>1119</v>
      </c>
      <c r="AK351" t="s">
        <v>1119</v>
      </c>
    </row>
    <row r="352" spans="31:37">
      <c r="AE352" t="s">
        <v>1150</v>
      </c>
      <c r="AK352" t="s">
        <v>1150</v>
      </c>
    </row>
    <row r="353" spans="31:37">
      <c r="AE353" t="s">
        <v>1174</v>
      </c>
      <c r="AK353" t="s">
        <v>1174</v>
      </c>
    </row>
    <row r="354" spans="31:37">
      <c r="AE354" t="s">
        <v>1197</v>
      </c>
      <c r="AK354" t="s">
        <v>1197</v>
      </c>
    </row>
    <row r="355" spans="31:37">
      <c r="AE355" t="s">
        <v>1218</v>
      </c>
      <c r="AK355" t="s">
        <v>1218</v>
      </c>
    </row>
    <row r="356" spans="31:37">
      <c r="AE356" t="s">
        <v>1238</v>
      </c>
      <c r="AK356" t="s">
        <v>1238</v>
      </c>
    </row>
    <row r="357" spans="31:37">
      <c r="AE357" t="s">
        <v>1257</v>
      </c>
      <c r="AK357" t="s">
        <v>1257</v>
      </c>
    </row>
    <row r="358" spans="31:37">
      <c r="AE358" t="s">
        <v>1412</v>
      </c>
      <c r="AK358" t="s">
        <v>1412</v>
      </c>
    </row>
    <row r="359" spans="31:37">
      <c r="AE359" t="s">
        <v>1424</v>
      </c>
      <c r="AK359" t="s">
        <v>1424</v>
      </c>
    </row>
    <row r="360" spans="31:37">
      <c r="AE360" t="s">
        <v>1436</v>
      </c>
      <c r="AK360" t="s">
        <v>1436</v>
      </c>
    </row>
    <row r="361" spans="31:37">
      <c r="AE361" t="s">
        <v>813</v>
      </c>
      <c r="AK361" t="s">
        <v>813</v>
      </c>
    </row>
    <row r="362" spans="31:37">
      <c r="AE362" t="s">
        <v>858</v>
      </c>
      <c r="AK362" t="s">
        <v>858</v>
      </c>
    </row>
    <row r="363" spans="31:37">
      <c r="AE363" t="s">
        <v>899</v>
      </c>
      <c r="AK363" t="s">
        <v>899</v>
      </c>
    </row>
    <row r="364" spans="31:37">
      <c r="AE364" t="s">
        <v>941</v>
      </c>
      <c r="AK364" t="s">
        <v>941</v>
      </c>
    </row>
    <row r="365" spans="31:37">
      <c r="AE365" t="s">
        <v>983</v>
      </c>
      <c r="AK365" t="s">
        <v>983</v>
      </c>
    </row>
    <row r="366" spans="31:37">
      <c r="AE366" t="s">
        <v>1018</v>
      </c>
      <c r="AK366" t="s">
        <v>1018</v>
      </c>
    </row>
    <row r="367" spans="31:37">
      <c r="AE367" t="s">
        <v>1054</v>
      </c>
      <c r="AK367" t="s">
        <v>1054</v>
      </c>
    </row>
    <row r="368" spans="31:37">
      <c r="AE368" t="s">
        <v>1088</v>
      </c>
      <c r="AK368" t="s">
        <v>1088</v>
      </c>
    </row>
    <row r="369" spans="31:37">
      <c r="AE369" t="s">
        <v>1120</v>
      </c>
      <c r="AK369" t="s">
        <v>1120</v>
      </c>
    </row>
    <row r="370" spans="31:37">
      <c r="AE370" t="s">
        <v>1500</v>
      </c>
      <c r="AK370" t="s">
        <v>1500</v>
      </c>
    </row>
    <row r="371" spans="31:37">
      <c r="AE371" t="s">
        <v>1505</v>
      </c>
      <c r="AK371" t="s">
        <v>1505</v>
      </c>
    </row>
    <row r="372" spans="31:37">
      <c r="AE372" t="s">
        <v>1513</v>
      </c>
      <c r="AK372" t="s">
        <v>1513</v>
      </c>
    </row>
    <row r="373" spans="31:37">
      <c r="AE373" t="s">
        <v>814</v>
      </c>
      <c r="AK373" t="s">
        <v>814</v>
      </c>
    </row>
    <row r="374" spans="31:37">
      <c r="AE374" t="s">
        <v>859</v>
      </c>
      <c r="AK374" t="s">
        <v>859</v>
      </c>
    </row>
    <row r="375" spans="31:37">
      <c r="AE375" t="s">
        <v>900</v>
      </c>
      <c r="AK375" t="s">
        <v>900</v>
      </c>
    </row>
    <row r="376" spans="31:37">
      <c r="AE376" t="s">
        <v>942</v>
      </c>
      <c r="AK376" t="s">
        <v>942</v>
      </c>
    </row>
    <row r="377" spans="31:37">
      <c r="AE377" t="s">
        <v>984</v>
      </c>
      <c r="AK377" t="s">
        <v>984</v>
      </c>
    </row>
    <row r="378" spans="31:37">
      <c r="AE378" t="s">
        <v>1019</v>
      </c>
      <c r="AK378" t="s">
        <v>1019</v>
      </c>
    </row>
    <row r="379" spans="31:37">
      <c r="AE379" t="s">
        <v>1055</v>
      </c>
      <c r="AK379" t="s">
        <v>1055</v>
      </c>
    </row>
    <row r="380" spans="31:37">
      <c r="AE380" t="s">
        <v>1089</v>
      </c>
      <c r="AK380" t="s">
        <v>1089</v>
      </c>
    </row>
    <row r="381" spans="31:37">
      <c r="AE381" t="s">
        <v>1121</v>
      </c>
      <c r="AK381" t="s">
        <v>1121</v>
      </c>
    </row>
    <row r="382" spans="31:37">
      <c r="AE382" t="s">
        <v>1151</v>
      </c>
      <c r="AK382" t="s">
        <v>1151</v>
      </c>
    </row>
    <row r="383" spans="31:37">
      <c r="AE383" t="s">
        <v>1175</v>
      </c>
      <c r="AK383" t="s">
        <v>1175</v>
      </c>
    </row>
    <row r="384" spans="31:37">
      <c r="AE384" t="s">
        <v>1198</v>
      </c>
      <c r="AK384" t="s">
        <v>1198</v>
      </c>
    </row>
    <row r="385" spans="31:37">
      <c r="AE385" t="s">
        <v>1219</v>
      </c>
      <c r="AK385" t="s">
        <v>1219</v>
      </c>
    </row>
    <row r="386" spans="31:37">
      <c r="AE386" t="s">
        <v>1239</v>
      </c>
      <c r="AK386" t="s">
        <v>1239</v>
      </c>
    </row>
    <row r="387" spans="31:37">
      <c r="AE387" t="s">
        <v>1258</v>
      </c>
      <c r="AK387" t="s">
        <v>1258</v>
      </c>
    </row>
    <row r="388" spans="31:37">
      <c r="AE388" t="s">
        <v>1570</v>
      </c>
      <c r="AK388" t="s">
        <v>1570</v>
      </c>
    </row>
    <row r="389" spans="31:37">
      <c r="AE389" t="s">
        <v>1574</v>
      </c>
      <c r="AK389" t="s">
        <v>1574</v>
      </c>
    </row>
    <row r="390" spans="31:37">
      <c r="AE390" t="s">
        <v>1577</v>
      </c>
      <c r="AK390" t="s">
        <v>1577</v>
      </c>
    </row>
    <row r="391" spans="31:37">
      <c r="AE391" t="s">
        <v>815</v>
      </c>
      <c r="AK391" t="s">
        <v>815</v>
      </c>
    </row>
    <row r="392" spans="31:37">
      <c r="AE392" t="s">
        <v>860</v>
      </c>
      <c r="AK392" t="s">
        <v>860</v>
      </c>
    </row>
    <row r="393" spans="31:37">
      <c r="AE393" t="s">
        <v>901</v>
      </c>
      <c r="AK393" t="s">
        <v>901</v>
      </c>
    </row>
    <row r="394" spans="31:37">
      <c r="AE394" t="s">
        <v>943</v>
      </c>
      <c r="AK394" t="s">
        <v>943</v>
      </c>
    </row>
    <row r="395" spans="31:37">
      <c r="AE395" t="s">
        <v>985</v>
      </c>
      <c r="AK395" t="s">
        <v>985</v>
      </c>
    </row>
    <row r="396" spans="31:37">
      <c r="AE396" t="s">
        <v>1020</v>
      </c>
      <c r="AK396" t="s">
        <v>1020</v>
      </c>
    </row>
    <row r="397" spans="31:37">
      <c r="AE397" t="s">
        <v>1056</v>
      </c>
      <c r="AK397" t="s">
        <v>1056</v>
      </c>
    </row>
    <row r="398" spans="31:37">
      <c r="AE398" t="s">
        <v>1090</v>
      </c>
      <c r="AK398" t="s">
        <v>1090</v>
      </c>
    </row>
    <row r="399" spans="31:37">
      <c r="AE399" t="s">
        <v>1122</v>
      </c>
      <c r="AK399" t="s">
        <v>1122</v>
      </c>
    </row>
    <row r="400" spans="31:37">
      <c r="AE400" t="s">
        <v>1152</v>
      </c>
      <c r="AK400" t="s">
        <v>1152</v>
      </c>
    </row>
    <row r="401" spans="31:37">
      <c r="AE401" t="s">
        <v>1176</v>
      </c>
      <c r="AK401" t="s">
        <v>1176</v>
      </c>
    </row>
    <row r="402" spans="31:37">
      <c r="AE402" t="s">
        <v>1199</v>
      </c>
      <c r="AK402" t="s">
        <v>1199</v>
      </c>
    </row>
    <row r="403" spans="31:37">
      <c r="AE403" t="s">
        <v>1220</v>
      </c>
      <c r="AK403" t="s">
        <v>1220</v>
      </c>
    </row>
    <row r="404" spans="31:37">
      <c r="AE404" t="s">
        <v>1240</v>
      </c>
      <c r="AK404" t="s">
        <v>1240</v>
      </c>
    </row>
    <row r="405" spans="31:37">
      <c r="AE405" t="s">
        <v>1259</v>
      </c>
      <c r="AK405" t="s">
        <v>1259</v>
      </c>
    </row>
    <row r="406" spans="31:37">
      <c r="AE406" t="s">
        <v>1274</v>
      </c>
      <c r="AK406" t="s">
        <v>1274</v>
      </c>
    </row>
    <row r="407" spans="31:37">
      <c r="AE407" t="s">
        <v>1289</v>
      </c>
      <c r="AK407" t="s">
        <v>1289</v>
      </c>
    </row>
    <row r="408" spans="31:37">
      <c r="AE408" t="s">
        <v>1304</v>
      </c>
      <c r="AK408" t="s">
        <v>1304</v>
      </c>
    </row>
    <row r="409" spans="31:37">
      <c r="AE409" t="s">
        <v>816</v>
      </c>
      <c r="AK409" t="s">
        <v>816</v>
      </c>
    </row>
    <row r="410" spans="31:37">
      <c r="AE410" t="s">
        <v>861</v>
      </c>
      <c r="AK410" t="s">
        <v>861</v>
      </c>
    </row>
    <row r="411" spans="31:37">
      <c r="AE411" t="s">
        <v>902</v>
      </c>
      <c r="AK411" t="s">
        <v>902</v>
      </c>
    </row>
    <row r="412" spans="31:37">
      <c r="AE412" t="s">
        <v>944</v>
      </c>
      <c r="AK412" t="s">
        <v>944</v>
      </c>
    </row>
    <row r="413" spans="31:37">
      <c r="AE413" t="s">
        <v>986</v>
      </c>
      <c r="AK413" t="s">
        <v>986</v>
      </c>
    </row>
    <row r="414" spans="31:37">
      <c r="AE414" t="s">
        <v>1021</v>
      </c>
      <c r="AK414" t="s">
        <v>1021</v>
      </c>
    </row>
    <row r="415" spans="31:37">
      <c r="AE415" t="s">
        <v>1057</v>
      </c>
      <c r="AK415" t="s">
        <v>1057</v>
      </c>
    </row>
    <row r="416" spans="31:37">
      <c r="AE416" t="s">
        <v>1091</v>
      </c>
      <c r="AK416" t="s">
        <v>1091</v>
      </c>
    </row>
    <row r="417" spans="31:37">
      <c r="AE417" t="s">
        <v>1123</v>
      </c>
      <c r="AK417" t="s">
        <v>1123</v>
      </c>
    </row>
    <row r="418" spans="31:37">
      <c r="AE418" t="s">
        <v>1153</v>
      </c>
      <c r="AK418" t="s">
        <v>1153</v>
      </c>
    </row>
    <row r="419" spans="31:37">
      <c r="AE419" t="s">
        <v>1177</v>
      </c>
      <c r="AK419" t="s">
        <v>1177</v>
      </c>
    </row>
    <row r="420" spans="31:37">
      <c r="AE420" t="s">
        <v>1200</v>
      </c>
      <c r="AK420" t="s">
        <v>1200</v>
      </c>
    </row>
    <row r="421" spans="31:37">
      <c r="AE421" t="s">
        <v>1646</v>
      </c>
      <c r="AK421" t="s">
        <v>1646</v>
      </c>
    </row>
    <row r="422" spans="31:37">
      <c r="AE422" t="s">
        <v>1648</v>
      </c>
      <c r="AK422" t="s">
        <v>1648</v>
      </c>
    </row>
    <row r="423" spans="31:37">
      <c r="AE423" t="s">
        <v>1650</v>
      </c>
      <c r="AK423" t="s">
        <v>1650</v>
      </c>
    </row>
    <row r="424" spans="31:37">
      <c r="AE424" t="s">
        <v>1652</v>
      </c>
      <c r="AK424" t="s">
        <v>1652</v>
      </c>
    </row>
    <row r="425" spans="31:37">
      <c r="AE425" t="s">
        <v>1654</v>
      </c>
      <c r="AK425" t="s">
        <v>1654</v>
      </c>
    </row>
    <row r="426" spans="31:37">
      <c r="AE426" t="s">
        <v>1655</v>
      </c>
      <c r="AK426" t="s">
        <v>1655</v>
      </c>
    </row>
    <row r="427" spans="31:37">
      <c r="AE427" t="s">
        <v>1657</v>
      </c>
      <c r="AK427" t="s">
        <v>1657</v>
      </c>
    </row>
    <row r="428" spans="31:37">
      <c r="AE428" t="s">
        <v>1659</v>
      </c>
      <c r="AK428" t="s">
        <v>1659</v>
      </c>
    </row>
    <row r="429" spans="31:37">
      <c r="AE429" t="s">
        <v>1662</v>
      </c>
      <c r="AK429" t="s">
        <v>1662</v>
      </c>
    </row>
    <row r="430" spans="31:37">
      <c r="AE430" t="s">
        <v>1660</v>
      </c>
      <c r="AK430" t="s">
        <v>1660</v>
      </c>
    </row>
    <row r="431" spans="31:37">
      <c r="AE431" t="s">
        <v>1665</v>
      </c>
      <c r="AK431" t="s">
        <v>1665</v>
      </c>
    </row>
    <row r="432" spans="31:37">
      <c r="AE432" t="s">
        <v>1667</v>
      </c>
      <c r="AK432" t="s">
        <v>1667</v>
      </c>
    </row>
    <row r="433" spans="31:37">
      <c r="AE433" t="s">
        <v>1663</v>
      </c>
      <c r="AK433" t="s">
        <v>1663</v>
      </c>
    </row>
    <row r="434" spans="31:37">
      <c r="AE434" t="s">
        <v>1670</v>
      </c>
      <c r="AK434" t="s">
        <v>1670</v>
      </c>
    </row>
    <row r="435" spans="31:37">
      <c r="AE435" t="s">
        <v>1672</v>
      </c>
      <c r="AK435" t="s">
        <v>1672</v>
      </c>
    </row>
    <row r="436" spans="31:37">
      <c r="AE436" t="s">
        <v>45</v>
      </c>
      <c r="AK436" t="s">
        <v>45</v>
      </c>
    </row>
    <row r="437" spans="31:37">
      <c r="AE437" t="s">
        <v>1674</v>
      </c>
      <c r="AK437" t="s">
        <v>1674</v>
      </c>
    </row>
    <row r="438" spans="31:37">
      <c r="AE438" t="s">
        <v>1676</v>
      </c>
      <c r="AK438" t="s">
        <v>1676</v>
      </c>
    </row>
    <row r="439" spans="31:37">
      <c r="AE439" t="s">
        <v>1666</v>
      </c>
      <c r="AK439" t="s">
        <v>1666</v>
      </c>
    </row>
    <row r="440" spans="31:37">
      <c r="AE440" t="s">
        <v>1677</v>
      </c>
      <c r="AK440" t="s">
        <v>1677</v>
      </c>
    </row>
    <row r="441" spans="31:37">
      <c r="AE441" t="s">
        <v>1678</v>
      </c>
      <c r="AK441" t="s">
        <v>1678</v>
      </c>
    </row>
    <row r="442" spans="31:37">
      <c r="AE442" t="s">
        <v>1668</v>
      </c>
      <c r="AK442" t="s">
        <v>1668</v>
      </c>
    </row>
    <row r="443" spans="31:37">
      <c r="AE443" t="s">
        <v>1679</v>
      </c>
      <c r="AK443" t="s">
        <v>1679</v>
      </c>
    </row>
    <row r="444" spans="31:37">
      <c r="AE444" t="s">
        <v>1680</v>
      </c>
      <c r="AK444" t="s">
        <v>1680</v>
      </c>
    </row>
    <row r="445" spans="31:37">
      <c r="AE445" t="s">
        <v>1669</v>
      </c>
      <c r="AK445" t="s">
        <v>1669</v>
      </c>
    </row>
    <row r="446" spans="31:37">
      <c r="AE446" t="s">
        <v>1681</v>
      </c>
      <c r="AK446" t="s">
        <v>1681</v>
      </c>
    </row>
    <row r="447" spans="31:37">
      <c r="AE447" t="s">
        <v>1682</v>
      </c>
      <c r="AK447" t="s">
        <v>1682</v>
      </c>
    </row>
    <row r="448" spans="31:37">
      <c r="AE448" t="s">
        <v>1671</v>
      </c>
      <c r="AK448" t="s">
        <v>1671</v>
      </c>
    </row>
    <row r="449" spans="31:37">
      <c r="AE449" t="s">
        <v>1683</v>
      </c>
      <c r="AK449" t="s">
        <v>1683</v>
      </c>
    </row>
    <row r="450" spans="31:37">
      <c r="AE450" t="s">
        <v>1684</v>
      </c>
      <c r="AK450" t="s">
        <v>1684</v>
      </c>
    </row>
    <row r="451" spans="31:37">
      <c r="AE451" t="s">
        <v>42</v>
      </c>
      <c r="AK451" t="s">
        <v>42</v>
      </c>
    </row>
    <row r="452" spans="31:37">
      <c r="AE452" t="s">
        <v>1685</v>
      </c>
      <c r="AK452" t="s">
        <v>1685</v>
      </c>
    </row>
    <row r="453" spans="31:37">
      <c r="AE453" t="s">
        <v>1686</v>
      </c>
      <c r="AK453" t="s">
        <v>1686</v>
      </c>
    </row>
    <row r="454" spans="31:37">
      <c r="AE454" t="s">
        <v>1673</v>
      </c>
      <c r="AK454" t="s">
        <v>1673</v>
      </c>
    </row>
    <row r="455" spans="31:37">
      <c r="AE455" t="s">
        <v>1687</v>
      </c>
      <c r="AK455" t="s">
        <v>1687</v>
      </c>
    </row>
    <row r="456" spans="31:37">
      <c r="AE456" t="s">
        <v>1688</v>
      </c>
      <c r="AK456" t="s">
        <v>1688</v>
      </c>
    </row>
    <row r="457" spans="31:37">
      <c r="AE457" t="s">
        <v>1675</v>
      </c>
      <c r="AK457" t="s">
        <v>1675</v>
      </c>
    </row>
    <row r="458" spans="31:37">
      <c r="AE458" t="s">
        <v>1689</v>
      </c>
      <c r="AK458" t="s">
        <v>1689</v>
      </c>
    </row>
    <row r="459" spans="31:37">
      <c r="AE459" t="s">
        <v>1690</v>
      </c>
      <c r="AK459" t="s">
        <v>1690</v>
      </c>
    </row>
    <row r="460" spans="31:37">
      <c r="AE460" t="s">
        <v>86</v>
      </c>
      <c r="AK460" t="s">
        <v>86</v>
      </c>
    </row>
    <row r="461" spans="31:37">
      <c r="AE461" t="s">
        <v>1691</v>
      </c>
      <c r="AK461" t="s">
        <v>1691</v>
      </c>
    </row>
    <row r="462" spans="31:37">
      <c r="AE462" t="s">
        <v>1692</v>
      </c>
      <c r="AK462" t="s">
        <v>1692</v>
      </c>
    </row>
  </sheetData>
  <sheetProtection sheet="1" objects="1" scenarios="1" selectLockedCells="1" selectUnlockedCells="1"/>
  <phoneticPr fontId="2"/>
  <conditionalFormatting sqref="F2:H7 G8">
    <cfRule type="cellIs" dxfId="5" priority="1" operator="equal">
      <formula>$G$7</formula>
    </cfRule>
    <cfRule type="cellIs" dxfId="4" priority="2" operator="equal">
      <formula>$G$6</formula>
    </cfRule>
    <cfRule type="cellIs" dxfId="3" priority="3" operator="equal">
      <formula>$G$5</formula>
    </cfRule>
    <cfRule type="cellIs" dxfId="2" priority="4" operator="equal">
      <formula>$G$4</formula>
    </cfRule>
    <cfRule type="cellIs" dxfId="1" priority="5" operator="equal">
      <formula>$G$3</formula>
    </cfRule>
    <cfRule type="cellIs" dxfId="0" priority="6" operator="equal">
      <formula>$G$2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54"/>
  <sheetViews>
    <sheetView workbookViewId="0">
      <selection activeCell="Q19" sqref="Q19"/>
    </sheetView>
  </sheetViews>
  <sheetFormatPr defaultRowHeight="13"/>
  <cols>
    <col min="1" max="1" width="2.26953125" customWidth="1"/>
    <col min="2" max="2" width="16" customWidth="1"/>
    <col min="3" max="3" width="4.6328125" customWidth="1"/>
    <col min="4" max="4" width="5.08984375" customWidth="1"/>
    <col min="5" max="5" width="16" customWidth="1"/>
    <col min="6" max="6" width="6" customWidth="1"/>
    <col min="7" max="7" width="5.08984375" customWidth="1"/>
    <col min="8" max="8" width="16" customWidth="1"/>
    <col min="9" max="9" width="4.36328125" bestFit="1" customWidth="1"/>
    <col min="10" max="10" width="5.08984375" customWidth="1"/>
    <col min="11" max="11" width="16" customWidth="1"/>
    <col min="12" max="12" width="4.36328125" bestFit="1" customWidth="1"/>
    <col min="13" max="13" width="8.26953125" bestFit="1" customWidth="1"/>
    <col min="14" max="14" width="16" customWidth="1"/>
    <col min="15" max="15" width="4.36328125" bestFit="1" customWidth="1"/>
    <col min="16" max="16" width="3.08984375" customWidth="1"/>
    <col min="17" max="17" width="15.90625" bestFit="1" customWidth="1"/>
    <col min="18" max="19" width="5.08984375" customWidth="1"/>
    <col min="20" max="20" width="15.90625" bestFit="1" customWidth="1"/>
    <col min="21" max="22" width="5.08984375" customWidth="1"/>
    <col min="23" max="23" width="15.90625" bestFit="1" customWidth="1"/>
    <col min="24" max="25" width="5.08984375" customWidth="1"/>
    <col min="26" max="26" width="15.90625" bestFit="1" customWidth="1"/>
    <col min="27" max="28" width="5.08984375" customWidth="1"/>
    <col min="29" max="29" width="15.90625" bestFit="1" customWidth="1"/>
    <col min="30" max="31" width="5.08984375" customWidth="1"/>
    <col min="32" max="32" width="15.90625" bestFit="1" customWidth="1"/>
    <col min="33" max="34" width="5.08984375" customWidth="1"/>
  </cols>
  <sheetData>
    <row r="1" spans="2:34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2:34" ht="13" customHeight="1">
      <c r="B2" s="56" t="s">
        <v>144</v>
      </c>
      <c r="C2" s="84">
        <f>VLOOKUP(B2,能力値!$C$32:$D$69,2,FALSE)</f>
        <v>6</v>
      </c>
      <c r="D2" s="14"/>
      <c r="E2" s="59" t="s">
        <v>145</v>
      </c>
      <c r="F2" s="85">
        <f>VLOOKUP(E2,能力値!$C$32:$D$69,2,FALSE)</f>
        <v>2</v>
      </c>
      <c r="G2" s="14"/>
      <c r="H2" s="59" t="s">
        <v>146</v>
      </c>
      <c r="I2" s="85">
        <f>VLOOKUP(H2,能力値!$C$32:$D$69,2,FALSE)</f>
        <v>-3</v>
      </c>
      <c r="J2" s="14"/>
      <c r="K2" s="58" t="s">
        <v>147</v>
      </c>
      <c r="L2" s="82">
        <f>VLOOKUP(K2,能力値!$C$32:$D$69,2,FALSE)</f>
        <v>5</v>
      </c>
      <c r="M2" s="14"/>
      <c r="N2" s="64" t="s">
        <v>148</v>
      </c>
      <c r="O2" s="64">
        <f>VLOOKUP(N2,冒険者技能!$C$3:$K$67,9,FALSE)</f>
        <v>0</v>
      </c>
      <c r="Q2" s="69" t="s">
        <v>149</v>
      </c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14"/>
    </row>
    <row r="3" spans="2:34">
      <c r="B3" s="57" t="s">
        <v>150</v>
      </c>
      <c r="C3" s="86">
        <f>VLOOKUP(B3,能力値!$C$32:$D$69,2,FALSE)</f>
        <v>5</v>
      </c>
      <c r="D3" s="14"/>
      <c r="E3" s="59" t="s">
        <v>151</v>
      </c>
      <c r="F3" s="85">
        <f>VLOOKUP(E3,能力値!$C$32:$D$69,2,FALSE)</f>
        <v>5</v>
      </c>
      <c r="G3" s="14"/>
      <c r="H3" s="59" t="s">
        <v>152</v>
      </c>
      <c r="I3" s="85">
        <f>VLOOKUP(H3,能力値!$C$32:$D$69,2,FALSE)</f>
        <v>-1</v>
      </c>
      <c r="J3" s="14"/>
      <c r="K3" s="58" t="s">
        <v>153</v>
      </c>
      <c r="L3" s="82">
        <f>VLOOKUP(K3,能力値!$C$32:$D$69,2,FALSE)</f>
        <v>7</v>
      </c>
      <c r="M3" s="14"/>
      <c r="N3" s="64" t="s">
        <v>154</v>
      </c>
      <c r="O3" s="64">
        <f>VLOOKUP(N3,冒険者技能!$C$3:$K$67,9,FALSE)</f>
        <v>0</v>
      </c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14"/>
    </row>
    <row r="4" spans="2:34">
      <c r="B4" s="58" t="s">
        <v>155</v>
      </c>
      <c r="C4" s="82">
        <f>VLOOKUP(B4,能力値!$C$32:$D$69,2,FALSE)</f>
        <v>6</v>
      </c>
      <c r="D4" s="14"/>
      <c r="E4" s="59" t="s">
        <v>156</v>
      </c>
      <c r="F4" s="85">
        <f>VLOOKUP(E4,能力値!$C$32:$D$69,2,FALSE)</f>
        <v>5</v>
      </c>
      <c r="G4" s="14"/>
      <c r="H4" s="59" t="s">
        <v>157</v>
      </c>
      <c r="I4" s="85">
        <f>VLOOKUP(H4,能力値!$C$32:$D$69,2,FALSE)</f>
        <v>-3</v>
      </c>
      <c r="J4" s="14"/>
      <c r="K4" s="58" t="s">
        <v>158</v>
      </c>
      <c r="L4" s="82">
        <f>VLOOKUP(K4,能力値!$C$32:$D$69,2,FALSE)</f>
        <v>5</v>
      </c>
      <c r="M4" s="14"/>
      <c r="N4" s="64" t="s">
        <v>159</v>
      </c>
      <c r="O4" s="64">
        <f>VLOOKUP(N4,冒険者技能!$C$3:$K$67,9,FALSE)</f>
        <v>1</v>
      </c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14"/>
    </row>
    <row r="5" spans="2:34">
      <c r="B5" s="57" t="s">
        <v>160</v>
      </c>
      <c r="C5" s="86">
        <f>VLOOKUP(B5,能力値!$C$32:$D$69,2,FALSE)</f>
        <v>5</v>
      </c>
      <c r="D5" s="14"/>
      <c r="E5" s="59" t="s">
        <v>161</v>
      </c>
      <c r="F5" s="85">
        <f>VLOOKUP(E5,能力値!$C$32:$D$69,2,FALSE)</f>
        <v>5</v>
      </c>
      <c r="G5" s="14"/>
      <c r="H5" s="14"/>
      <c r="I5" s="83"/>
      <c r="J5" s="14"/>
      <c r="K5" s="58" t="s">
        <v>162</v>
      </c>
      <c r="L5" s="82">
        <f>VLOOKUP(K5,能力値!$C$32:$D$69,2,FALSE)</f>
        <v>5</v>
      </c>
      <c r="M5" s="14"/>
      <c r="N5" s="64" t="s">
        <v>163</v>
      </c>
      <c r="O5" s="64">
        <f>VLOOKUP(N5,冒険者技能!$C$3:$K$67,9,FALSE)</f>
        <v>0</v>
      </c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14"/>
    </row>
    <row r="6" spans="2:34">
      <c r="B6" s="14"/>
      <c r="C6" s="83"/>
      <c r="D6" s="14"/>
      <c r="E6" s="14"/>
      <c r="F6" s="83"/>
      <c r="G6" s="14"/>
      <c r="H6" s="14"/>
      <c r="I6" s="83"/>
      <c r="J6" s="14"/>
      <c r="K6" s="14"/>
      <c r="L6" s="83"/>
      <c r="M6" s="14"/>
      <c r="N6" s="64" t="s">
        <v>164</v>
      </c>
      <c r="O6" s="64">
        <f>VLOOKUP(N6,冒険者技能!$C$3:$K$67,9,FALSE)</f>
        <v>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2:34">
      <c r="B7" s="56" t="s">
        <v>165</v>
      </c>
      <c r="C7" s="84">
        <f>VLOOKUP(B7,能力値!$C$32:$D$69,2,FALSE)</f>
        <v>9</v>
      </c>
      <c r="D7" s="14"/>
      <c r="E7" s="59" t="s">
        <v>166</v>
      </c>
      <c r="F7" s="85">
        <f>VLOOKUP(E7,能力値!$C$32:$D$69,2,FALSE)</f>
        <v>5</v>
      </c>
      <c r="G7" s="14"/>
      <c r="H7" s="58" t="s">
        <v>167</v>
      </c>
      <c r="I7" s="82">
        <f>VLOOKUP(H7,能力値!$C$32:$D$69,2,FALSE)</f>
        <v>5</v>
      </c>
      <c r="J7" s="14"/>
      <c r="K7" s="56" t="s">
        <v>168</v>
      </c>
      <c r="L7" s="84">
        <f>VLOOKUP(K7,能力値!$C$32:$D$69,2,FALSE)</f>
        <v>9</v>
      </c>
      <c r="M7" s="14"/>
      <c r="N7" s="64" t="s">
        <v>169</v>
      </c>
      <c r="O7" s="64">
        <f>VLOOKUP(N7,冒険者技能!$C$3:$K$67,9,FALSE)</f>
        <v>0</v>
      </c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14"/>
    </row>
    <row r="8" spans="2:34">
      <c r="B8" s="56" t="s">
        <v>170</v>
      </c>
      <c r="C8" s="84">
        <f>VLOOKUP(B8,能力値!$C$32:$D$69,2,FALSE)</f>
        <v>11</v>
      </c>
      <c r="D8" s="14"/>
      <c r="E8" s="59" t="s">
        <v>171</v>
      </c>
      <c r="F8" s="85">
        <f>VLOOKUP(E8,能力値!$C$32:$D$69,2,FALSE)</f>
        <v>5</v>
      </c>
      <c r="G8" s="14"/>
      <c r="H8" s="58" t="s">
        <v>172</v>
      </c>
      <c r="I8" s="82">
        <f>VLOOKUP(H8,能力値!$C$32:$D$69,2,FALSE)</f>
        <v>5</v>
      </c>
      <c r="J8" s="14"/>
      <c r="K8" s="92" t="s">
        <v>173</v>
      </c>
      <c r="L8" s="93">
        <f>VLOOKUP(K8,能力値!$C$32:$D$69,2,FALSE)</f>
        <v>6</v>
      </c>
      <c r="M8" s="14"/>
      <c r="N8" s="64" t="s">
        <v>174</v>
      </c>
      <c r="O8" s="64">
        <f>VLOOKUP(N8,冒険者技能!$C$3:$K$67,9,FALSE)</f>
        <v>0</v>
      </c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14"/>
    </row>
    <row r="9" spans="2:34">
      <c r="B9" s="56" t="s">
        <v>175</v>
      </c>
      <c r="C9" s="84">
        <f>VLOOKUP(B9,能力値!$C$32:$D$69,2,FALSE)</f>
        <v>9</v>
      </c>
      <c r="D9" s="14"/>
      <c r="E9" s="59" t="s">
        <v>176</v>
      </c>
      <c r="F9" s="85">
        <f>VLOOKUP(E9,能力値!$C$32:$D$69,2,FALSE)</f>
        <v>7</v>
      </c>
      <c r="G9" s="14"/>
      <c r="H9" s="58" t="s">
        <v>177</v>
      </c>
      <c r="I9" s="82">
        <f>VLOOKUP(H9,能力値!$C$32:$D$69,2,FALSE)</f>
        <v>5</v>
      </c>
      <c r="J9" s="14"/>
      <c r="K9" s="89" t="s">
        <v>178</v>
      </c>
      <c r="L9" s="94">
        <f>VLOOKUP(K9,能力値!$C$32:$D$69,2,FALSE)</f>
        <v>7</v>
      </c>
      <c r="M9" s="14"/>
      <c r="N9" s="64" t="s">
        <v>179</v>
      </c>
      <c r="O9" s="64">
        <f>VLOOKUP(N9,冒険者技能!$C$3:$K$67,9,FALSE)</f>
        <v>0</v>
      </c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14"/>
    </row>
    <row r="10" spans="2:34">
      <c r="B10" s="56" t="s">
        <v>180</v>
      </c>
      <c r="C10" s="84">
        <f>VLOOKUP(B10,能力値!$C$32:$D$69,2,FALSE)</f>
        <v>11</v>
      </c>
      <c r="D10" s="14"/>
      <c r="E10" s="59" t="s">
        <v>181</v>
      </c>
      <c r="F10" s="85">
        <f>VLOOKUP(E10,能力値!$C$32:$D$69,2,FALSE)</f>
        <v>5</v>
      </c>
      <c r="G10" s="14"/>
      <c r="H10" s="58" t="s">
        <v>182</v>
      </c>
      <c r="I10" s="82">
        <f>VLOOKUP(H10,能力値!$C$32:$D$69,2,FALSE)</f>
        <v>7</v>
      </c>
      <c r="J10" s="14"/>
      <c r="K10" s="89" t="s">
        <v>183</v>
      </c>
      <c r="L10" s="94">
        <f>VLOOKUP(K10,能力値!$C$32:$D$69,2,FALSE)</f>
        <v>7</v>
      </c>
      <c r="M10" s="14"/>
      <c r="N10" s="64" t="s">
        <v>184</v>
      </c>
      <c r="O10" s="64">
        <f>VLOOKUP(N10,冒険者技能!$C$3:$K$67,9,FALSE)</f>
        <v>0</v>
      </c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2:34">
      <c r="B11" s="14"/>
      <c r="C11" s="83"/>
      <c r="D11" s="14"/>
      <c r="E11" s="14"/>
      <c r="F11" s="83"/>
      <c r="G11" s="14"/>
      <c r="H11" s="14"/>
      <c r="I11" s="83"/>
      <c r="J11" s="14"/>
      <c r="K11" s="14"/>
      <c r="L11" s="83"/>
      <c r="M11" s="14"/>
      <c r="N11" s="64" t="s">
        <v>185</v>
      </c>
      <c r="O11" s="64">
        <f>VLOOKUP(N11,冒険者技能!$C$3:$K$67,9,FALSE)</f>
        <v>0</v>
      </c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14"/>
    </row>
    <row r="12" spans="2:34">
      <c r="B12" s="56" t="s">
        <v>186</v>
      </c>
      <c r="C12" s="84" t="str">
        <f>能力値!J10</f>
        <v>５</v>
      </c>
      <c r="D12" s="14"/>
      <c r="E12" s="57" t="s">
        <v>187</v>
      </c>
      <c r="F12" s="86" t="str">
        <f>能力値!K10</f>
        <v>４</v>
      </c>
      <c r="G12" s="14"/>
      <c r="H12" s="59" t="s">
        <v>188</v>
      </c>
      <c r="I12" s="85" t="str">
        <f>能力値!L10</f>
        <v>５</v>
      </c>
      <c r="J12" s="14"/>
      <c r="K12" s="58" t="s">
        <v>189</v>
      </c>
      <c r="L12" s="82" t="str">
        <f>能力値!M10</f>
        <v>５</v>
      </c>
      <c r="M12" s="14"/>
      <c r="N12" s="64" t="s">
        <v>190</v>
      </c>
      <c r="O12" s="64">
        <f>VLOOKUP(N12,一般技能!$B$3:$I$47,8,FALSE)</f>
        <v>0</v>
      </c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14"/>
    </row>
    <row r="13" spans="2:34">
      <c r="B13" s="56" t="s">
        <v>191</v>
      </c>
      <c r="C13" s="84" t="str">
        <f>能力値!J11</f>
        <v>７</v>
      </c>
      <c r="D13" s="14"/>
      <c r="E13" s="57" t="s">
        <v>192</v>
      </c>
      <c r="F13" s="86" t="str">
        <f>能力値!K11</f>
        <v>６</v>
      </c>
      <c r="G13" s="14"/>
      <c r="H13" s="59" t="s">
        <v>193</v>
      </c>
      <c r="I13" s="85" t="str">
        <f>能力値!L11</f>
        <v>７</v>
      </c>
      <c r="J13" s="14"/>
      <c r="K13" s="58" t="s">
        <v>194</v>
      </c>
      <c r="L13" s="82" t="str">
        <f>能力値!M11</f>
        <v>７</v>
      </c>
      <c r="M13" s="14"/>
      <c r="N13" s="64" t="s">
        <v>195</v>
      </c>
      <c r="O13" s="64">
        <f>VLOOKUP(N13,一般技能!$B$3:$I$47,8,FALSE)</f>
        <v>0</v>
      </c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14"/>
    </row>
    <row r="14" spans="2:34">
      <c r="B14" s="56" t="s">
        <v>196</v>
      </c>
      <c r="C14" s="84" t="str">
        <f>能力値!J12</f>
        <v>５</v>
      </c>
      <c r="D14" s="14"/>
      <c r="E14" s="57" t="s">
        <v>197</v>
      </c>
      <c r="F14" s="86" t="str">
        <f>能力値!K12</f>
        <v>４</v>
      </c>
      <c r="G14" s="14"/>
      <c r="H14" s="59" t="s">
        <v>198</v>
      </c>
      <c r="I14" s="85" t="str">
        <f>能力値!L12</f>
        <v>５</v>
      </c>
      <c r="J14" s="14"/>
      <c r="K14" s="58" t="s">
        <v>199</v>
      </c>
      <c r="L14" s="82" t="str">
        <f>能力値!M12</f>
        <v>５</v>
      </c>
      <c r="M14" s="14"/>
      <c r="N14" s="64" t="s">
        <v>200</v>
      </c>
      <c r="O14" s="64">
        <f>VLOOKUP(N14,一般技能!$B$3:$I$47,8,FALSE)</f>
        <v>0</v>
      </c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14"/>
    </row>
    <row r="15" spans="2:34"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64" t="s">
        <v>201</v>
      </c>
      <c r="O15" s="64">
        <f>VLOOKUP(N15,一般技能!$B$3:$I$47,8,FALSE)</f>
        <v>1</v>
      </c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2:34">
      <c r="B16" s="95" t="str">
        <f>状態!$D$60</f>
        <v>街道移動距離（１時間／10分） 効力値：～９：3360／630　１０～１４：4200／840　１５～１９：5040／840　２０～２４：5880／1050　２５～３０：6720／1260　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14"/>
    </row>
    <row r="17" spans="2:34">
      <c r="B17" s="97" t="str">
        <f>状態!D78</f>
        <v>荒野移動距離（１時間／10分） 効力値：～９：1260／210　１０～１４：1470／420　１５～１９：1680／420　２０～２４：2100／420　２５～３０：2310／420　</v>
      </c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14"/>
    </row>
    <row r="18" spans="2:34">
      <c r="B18" s="99" t="str">
        <f>状態!D96</f>
        <v>警戒移動距離（１時間／10分） 効力値：～９：420／63　１０～１４：630／84　１５～１９：630／105　２０～２４：840／126　２５～３０：840／126　</v>
      </c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14"/>
    </row>
    <row r="19" spans="2:34">
      <c r="B19" s="95" t="str">
        <f>状態!D115</f>
        <v/>
      </c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14"/>
    </row>
    <row r="20" spans="2:34">
      <c r="B20" s="97" t="str">
        <f>状態!D133</f>
        <v/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14"/>
    </row>
    <row r="21" spans="2:34"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62"/>
      <c r="O21" s="62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14"/>
    </row>
    <row r="22" spans="2:34">
      <c r="B22" s="57" t="str">
        <f>テキストシート!B16</f>
        <v>◆消耗　</v>
      </c>
      <c r="C22" s="62"/>
      <c r="D22" s="62"/>
      <c r="E22" s="62"/>
      <c r="F22" s="62"/>
      <c r="G22" s="62"/>
      <c r="I22" s="14"/>
      <c r="J22" s="14"/>
      <c r="K22" s="14"/>
      <c r="L22" s="14"/>
      <c r="M22" s="14"/>
      <c r="N22" s="14"/>
      <c r="O22" s="14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14"/>
    </row>
    <row r="23" spans="2:34">
      <c r="B23" s="57" t="str">
        <f>テキストシート!B17</f>
        <v xml:space="preserve">　 1　　□□□□□　　全判定－２ </v>
      </c>
      <c r="C23" s="57"/>
      <c r="D23" s="57"/>
      <c r="E23" s="57"/>
      <c r="F23" s="57"/>
      <c r="G23" s="62"/>
      <c r="H23" s="58" t="s">
        <v>202</v>
      </c>
      <c r="I23" s="82">
        <f>VLOOKUP(H23,能力値!$C$32:$D$79,2,FALSE)</f>
        <v>5</v>
      </c>
      <c r="J23" s="14"/>
      <c r="K23" s="58" t="s">
        <v>203</v>
      </c>
      <c r="L23" s="58"/>
      <c r="M23" s="58">
        <f>I37+作成シート!C1+戦闘現在値!I38</f>
        <v>3</v>
      </c>
      <c r="N23" s="79" t="s">
        <v>204</v>
      </c>
      <c r="O23" s="79">
        <f>COUNTIF(作成シート!$C$101:$C$118,"携帯食：21")*21+COUNTIF(作成シート!$C$101:$C$118,"携帯食：3")*3+COUNTIF(作成シート!$C$101:$C$118,"携帯食")-C43+F43-戦闘現在値!C44+戦闘現在値!F44</f>
        <v>21</v>
      </c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14"/>
    </row>
    <row r="24" spans="2:34">
      <c r="B24" s="59" t="str">
        <f>テキストシート!B18</f>
        <v xml:space="preserve">　 2　　□□□□　　　全判定－３　移動力半減 </v>
      </c>
      <c r="C24" s="59"/>
      <c r="D24" s="59"/>
      <c r="E24" s="59"/>
      <c r="F24" s="59"/>
      <c r="G24" s="62"/>
      <c r="H24" s="57" t="s">
        <v>205</v>
      </c>
      <c r="I24" s="86">
        <f>VLOOKUP(H24,能力値!$C$32:$D$79,2,FALSE)</f>
        <v>4</v>
      </c>
      <c r="J24" s="14"/>
      <c r="K24" s="63" t="s">
        <v>206</v>
      </c>
      <c r="L24" s="63"/>
      <c r="M24" s="63">
        <f>戦闘現在値!L22</f>
        <v>0</v>
      </c>
      <c r="N24" s="79" t="s">
        <v>207</v>
      </c>
      <c r="O24" s="79">
        <f>COUNTIF(作成シート!$C$101:$C$118,固定値!BL3)*1+COUNTIF(作成シート!$C$101:$C$118,"水袋")-C44+F44-戦闘現在値!C45+戦闘現在値!F45</f>
        <v>1</v>
      </c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14"/>
    </row>
    <row r="25" spans="2:34">
      <c r="B25" s="58" t="str">
        <f>テキストシート!B19</f>
        <v xml:space="preserve">　 3　　□□□　　　　全判定－４　移動力と生命力半減  </v>
      </c>
      <c r="C25" s="58"/>
      <c r="D25" s="58"/>
      <c r="E25" s="58"/>
      <c r="F25" s="58"/>
      <c r="G25" s="62"/>
      <c r="H25" s="56" t="s">
        <v>208</v>
      </c>
      <c r="I25" s="84">
        <f>VLOOKUP(H25,能力値!$C$32:$D$79,2,FALSE)</f>
        <v>7</v>
      </c>
      <c r="J25" s="14"/>
      <c r="K25" s="57" t="s">
        <v>209</v>
      </c>
      <c r="L25" s="57"/>
      <c r="M25" s="57">
        <f>戦闘現在値!L23</f>
        <v>0</v>
      </c>
      <c r="N25" s="79" t="s">
        <v>210</v>
      </c>
      <c r="O25" s="79">
        <f>COUNTIF(作成シート!$C$101:$C$118,固定値!BL3)*6+COUNTIF(作成シート!$C$101:$C$118,"松明：6")*6-C45+F45-戦闘現在値!C46+戦闘現在値!F46</f>
        <v>6</v>
      </c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14"/>
    </row>
    <row r="26" spans="2:34">
      <c r="B26" s="56" t="str">
        <f>テキストシート!B20</f>
        <v xml:space="preserve">　 4　　□□　　　　　気絶　移動不可　生命力半減   </v>
      </c>
      <c r="C26" s="56"/>
      <c r="D26" s="56"/>
      <c r="E26" s="56"/>
      <c r="F26" s="56"/>
      <c r="G26" s="62"/>
      <c r="H26" s="59" t="s">
        <v>211</v>
      </c>
      <c r="I26" s="85">
        <f>VLOOKUP(H26,能力値!$C$32:$D$79,2,FALSE)</f>
        <v>5</v>
      </c>
      <c r="J26" s="14"/>
      <c r="K26" s="59" t="s">
        <v>212</v>
      </c>
      <c r="L26" s="59"/>
      <c r="M26" s="59">
        <f>戦闘現在値!L24</f>
        <v>0</v>
      </c>
      <c r="N26" s="79" t="s">
        <v>213</v>
      </c>
      <c r="O26" s="79">
        <f>COUNTIF(作成シート!$C$101:$C$118,"油")-C46+F46-戦闘現在値!C47+戦闘現在値!F47</f>
        <v>0</v>
      </c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14"/>
    </row>
    <row r="27" spans="2:34">
      <c r="B27" s="73" t="str">
        <f>テキストシート!B21</f>
        <v xml:space="preserve">　 5　　□　　　　　　死亡   </v>
      </c>
      <c r="C27" s="73"/>
      <c r="D27" s="73"/>
      <c r="E27" s="73"/>
      <c r="F27" s="73"/>
      <c r="G27" s="62"/>
      <c r="H27" s="14"/>
      <c r="I27" s="14"/>
      <c r="J27" s="14"/>
      <c r="K27" s="56" t="s">
        <v>214</v>
      </c>
      <c r="L27" s="56"/>
      <c r="M27" s="56">
        <f>戦闘現在値!L25</f>
        <v>23</v>
      </c>
      <c r="N27" s="79" t="s">
        <v>215</v>
      </c>
      <c r="O27" s="79">
        <f>COUNTIF(作成シート!$C$101:$C$118,"手当道具：5")*5+COUNTIF(作成シート!$C$101:$C$118,"手当道具")-C47+F47-戦闘現在値!C48+戦闘現在値!F48</f>
        <v>0</v>
      </c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14"/>
    </row>
    <row r="28" spans="2:34">
      <c r="B28" s="14"/>
      <c r="C28" s="14"/>
      <c r="D28" s="14"/>
      <c r="E28" s="14"/>
      <c r="F28" s="14"/>
      <c r="G28" s="14"/>
      <c r="H28" s="14"/>
      <c r="I28" s="14"/>
      <c r="J28" s="14"/>
      <c r="K28" s="60" t="s">
        <v>216</v>
      </c>
      <c r="L28" s="60"/>
      <c r="M28" s="60">
        <f>戦闘現在値!L26</f>
        <v>46</v>
      </c>
      <c r="N28" s="14"/>
      <c r="O28" s="14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14"/>
    </row>
    <row r="29" spans="2:34">
      <c r="B29" s="59" t="str">
        <f>テキストシート!B23</f>
        <v xml:space="preserve">◆継戦カウンター </v>
      </c>
      <c r="C29" s="14"/>
      <c r="D29" s="14"/>
      <c r="E29" s="14"/>
      <c r="F29" s="14"/>
      <c r="G29" s="14"/>
      <c r="H29" s="14"/>
      <c r="I29" s="14"/>
      <c r="J29" s="14"/>
      <c r="K29" s="64" t="s">
        <v>217</v>
      </c>
      <c r="L29" s="64"/>
      <c r="M29" s="64">
        <f>戦闘現在値!L27</f>
        <v>21</v>
      </c>
      <c r="N29" s="14"/>
      <c r="O29" s="14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14"/>
    </row>
    <row r="30" spans="2:34">
      <c r="B30" s="59" t="str">
        <f>テキストシート!B24</f>
        <v>□□□□○　5　□□○□□10　○□□○□15　○□○□○20　</v>
      </c>
      <c r="C30" s="59"/>
      <c r="D30" s="59"/>
      <c r="E30" s="59"/>
      <c r="F30" s="59"/>
      <c r="G30" s="59"/>
      <c r="H30" s="62"/>
      <c r="I30" s="14"/>
      <c r="J30" s="14"/>
      <c r="K30" s="56" t="s">
        <v>218</v>
      </c>
      <c r="L30" s="56"/>
      <c r="M30" s="56">
        <f>戦闘現在値!L28</f>
        <v>0</v>
      </c>
      <c r="N30" s="14"/>
      <c r="O30" s="14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14"/>
    </row>
    <row r="31" spans="2:34">
      <c r="B31" s="59" t="str">
        <f>テキストシート!B25</f>
        <v>○○○○○25　○○○○○30　○○○○○35　○○○○○40　</v>
      </c>
      <c r="C31" s="59"/>
      <c r="D31" s="59"/>
      <c r="E31" s="59"/>
      <c r="F31" s="59"/>
      <c r="G31" s="59"/>
      <c r="H31" s="62"/>
      <c r="I31" s="14"/>
      <c r="J31" s="14"/>
      <c r="K31" s="58" t="s">
        <v>219</v>
      </c>
      <c r="L31" s="58"/>
      <c r="M31" s="58">
        <f>戦闘現在値!L30</f>
        <v>0</v>
      </c>
      <c r="N31" s="14"/>
      <c r="O31" s="14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14"/>
    </row>
    <row r="32" spans="2:34">
      <c r="B32" s="100" t="s">
        <v>2180</v>
      </c>
      <c r="C32" s="101"/>
      <c r="D32" s="101"/>
      <c r="E32" s="101"/>
      <c r="F32" s="101"/>
      <c r="G32" s="101"/>
      <c r="H32" s="101"/>
      <c r="I32" s="101"/>
      <c r="J32" s="14"/>
      <c r="K32" s="63" t="s">
        <v>220</v>
      </c>
      <c r="L32" s="63"/>
      <c r="M32" s="63">
        <f>所持金!B1</f>
        <v>5</v>
      </c>
      <c r="N32" s="14"/>
      <c r="O32" s="14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14"/>
    </row>
    <row r="33" spans="2:34">
      <c r="B33" s="58" t="str">
        <f>戦闘現在値!B32</f>
        <v>◆呪文使用回数</v>
      </c>
      <c r="C33" s="14"/>
      <c r="D33" s="14"/>
      <c r="E33" s="14"/>
      <c r="F33" s="14"/>
      <c r="G33" s="14"/>
      <c r="H33" s="14"/>
      <c r="I33" s="14"/>
      <c r="J33" s="14"/>
      <c r="K33" s="57" t="s">
        <v>2178</v>
      </c>
      <c r="L33" s="57"/>
      <c r="M33" s="57" t="str">
        <f>戦闘現在値!L32</f>
        <v>健康</v>
      </c>
      <c r="N33" s="14"/>
      <c r="O33" s="14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14"/>
    </row>
    <row r="34" spans="2:34">
      <c r="B34" s="58" t="str">
        <f>戦闘現在値!B33</f>
        <v/>
      </c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14"/>
    </row>
    <row r="35" spans="2:34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</row>
    <row r="36" spans="2:34">
      <c r="B36" s="59" t="s">
        <v>221</v>
      </c>
      <c r="C36" s="59"/>
      <c r="D36" s="14"/>
      <c r="E36" s="57" t="s">
        <v>222</v>
      </c>
      <c r="F36" s="57"/>
      <c r="G36" s="14"/>
      <c r="H36" s="58" t="s">
        <v>223</v>
      </c>
      <c r="I36" s="58"/>
      <c r="J36" s="14"/>
      <c r="K36" s="56" t="s">
        <v>224</v>
      </c>
      <c r="L36" s="56"/>
      <c r="M36" s="14"/>
      <c r="N36" s="60" t="s">
        <v>218</v>
      </c>
      <c r="O36" s="60"/>
      <c r="Q36" s="70" t="s">
        <v>225</v>
      </c>
      <c r="R36" s="70"/>
    </row>
    <row r="37" spans="2:34">
      <c r="B37" s="61" t="s">
        <v>226</v>
      </c>
      <c r="C37" s="59">
        <v>0</v>
      </c>
      <c r="D37" s="14"/>
      <c r="E37" s="65" t="s">
        <v>226</v>
      </c>
      <c r="F37" s="57">
        <v>0</v>
      </c>
      <c r="G37" s="14"/>
      <c r="H37" s="66" t="s">
        <v>226</v>
      </c>
      <c r="I37" s="58">
        <v>0</v>
      </c>
      <c r="J37" s="14"/>
      <c r="K37" s="67" t="s">
        <v>226</v>
      </c>
      <c r="L37" s="56">
        <v>0</v>
      </c>
      <c r="M37" s="14"/>
      <c r="N37" s="68" t="s">
        <v>227</v>
      </c>
      <c r="O37" s="60">
        <v>0</v>
      </c>
      <c r="Q37" s="71" t="s">
        <v>227</v>
      </c>
      <c r="R37" s="70">
        <v>0</v>
      </c>
    </row>
    <row r="38" spans="2:34">
      <c r="S38" s="14"/>
      <c r="T38" s="24"/>
      <c r="U38" s="14"/>
      <c r="V38" s="14"/>
      <c r="W38" s="24"/>
      <c r="X38" s="14"/>
      <c r="Y38" s="14"/>
      <c r="Z38" s="24"/>
      <c r="AA38" s="14"/>
      <c r="AB38" s="14"/>
      <c r="AC38" s="24"/>
      <c r="AD38" s="14"/>
      <c r="AE38" s="14"/>
      <c r="AF38" s="24"/>
      <c r="AG38" s="14"/>
      <c r="AH38" s="14"/>
    </row>
    <row r="39" spans="2:34">
      <c r="B39" s="59" t="s">
        <v>228</v>
      </c>
      <c r="C39" s="59"/>
      <c r="D39" s="14"/>
      <c r="E39" s="57" t="s">
        <v>229</v>
      </c>
      <c r="F39" s="57"/>
      <c r="K39" s="56" t="s">
        <v>230</v>
      </c>
      <c r="L39" s="56"/>
      <c r="M39" s="14"/>
      <c r="N39" s="60" t="s">
        <v>231</v>
      </c>
      <c r="O39" s="60"/>
      <c r="Q39" s="70" t="s">
        <v>232</v>
      </c>
      <c r="R39" s="70"/>
    </row>
    <row r="40" spans="2:34">
      <c r="B40" s="61" t="s">
        <v>227</v>
      </c>
      <c r="C40" s="59">
        <v>0</v>
      </c>
      <c r="D40" s="14"/>
      <c r="E40" s="65" t="s">
        <v>227</v>
      </c>
      <c r="F40" s="57">
        <v>0</v>
      </c>
      <c r="K40" s="67" t="s">
        <v>227</v>
      </c>
      <c r="L40" s="56">
        <v>0</v>
      </c>
      <c r="M40" s="14"/>
      <c r="N40" s="68" t="s">
        <v>227</v>
      </c>
      <c r="O40" s="60">
        <v>0</v>
      </c>
      <c r="Q40" s="71" t="s">
        <v>227</v>
      </c>
      <c r="R40" s="70">
        <v>0</v>
      </c>
    </row>
    <row r="42" spans="2:34">
      <c r="B42" s="56" t="s">
        <v>233</v>
      </c>
      <c r="C42" s="80"/>
      <c r="D42" s="72"/>
      <c r="E42" s="59" t="s">
        <v>234</v>
      </c>
      <c r="F42" s="81"/>
    </row>
    <row r="43" spans="2:34">
      <c r="B43" s="56" t="s">
        <v>235</v>
      </c>
      <c r="C43" s="56">
        <v>0</v>
      </c>
      <c r="D43" s="72"/>
      <c r="E43" s="59" t="s">
        <v>235</v>
      </c>
      <c r="F43" s="59">
        <v>0</v>
      </c>
      <c r="S43" s="14"/>
      <c r="V43" s="14"/>
      <c r="Y43" s="14"/>
      <c r="AB43" s="14"/>
      <c r="AE43" s="14"/>
      <c r="AH43" s="14"/>
    </row>
    <row r="44" spans="2:34">
      <c r="B44" s="56" t="s">
        <v>236</v>
      </c>
      <c r="C44" s="56">
        <v>0</v>
      </c>
      <c r="D44" s="72"/>
      <c r="E44" s="59" t="s">
        <v>236</v>
      </c>
      <c r="F44" s="59">
        <v>0</v>
      </c>
    </row>
    <row r="45" spans="2:34">
      <c r="B45" s="56" t="s">
        <v>237</v>
      </c>
      <c r="C45" s="56">
        <v>0</v>
      </c>
      <c r="D45" s="72"/>
      <c r="E45" s="59" t="s">
        <v>237</v>
      </c>
      <c r="F45" s="59">
        <v>0</v>
      </c>
    </row>
    <row r="46" spans="2:34">
      <c r="B46" s="56" t="s">
        <v>238</v>
      </c>
      <c r="C46" s="56">
        <v>0</v>
      </c>
      <c r="D46" s="72"/>
      <c r="E46" s="59" t="s">
        <v>238</v>
      </c>
      <c r="F46" s="59">
        <v>0</v>
      </c>
    </row>
    <row r="47" spans="2:34">
      <c r="B47" s="56" t="s">
        <v>239</v>
      </c>
      <c r="C47" s="56">
        <v>0</v>
      </c>
      <c r="D47" s="72"/>
      <c r="E47" s="59" t="s">
        <v>239</v>
      </c>
      <c r="F47" s="59">
        <v>0</v>
      </c>
    </row>
    <row r="48" spans="2:34">
      <c r="B48" s="56" t="s">
        <v>240</v>
      </c>
      <c r="C48" s="56">
        <v>0</v>
      </c>
      <c r="D48" s="72"/>
      <c r="E48" s="59" t="s">
        <v>240</v>
      </c>
      <c r="F48" s="59">
        <v>0</v>
      </c>
    </row>
    <row r="49" spans="2:6">
      <c r="B49" s="56" t="s">
        <v>241</v>
      </c>
      <c r="C49" s="56">
        <v>0</v>
      </c>
      <c r="D49" s="72"/>
      <c r="E49" s="59" t="s">
        <v>241</v>
      </c>
      <c r="F49" s="59">
        <v>0</v>
      </c>
    </row>
    <row r="50" spans="2:6">
      <c r="B50" s="56" t="s">
        <v>242</v>
      </c>
      <c r="C50" s="56">
        <v>0</v>
      </c>
      <c r="D50" s="72"/>
      <c r="E50" s="59" t="s">
        <v>242</v>
      </c>
      <c r="F50" s="59">
        <v>0</v>
      </c>
    </row>
    <row r="51" spans="2:6">
      <c r="B51" s="56" t="s">
        <v>243</v>
      </c>
      <c r="C51" s="56">
        <v>0</v>
      </c>
      <c r="D51" s="72"/>
      <c r="E51" s="59" t="s">
        <v>243</v>
      </c>
      <c r="F51" s="59">
        <v>0</v>
      </c>
    </row>
    <row r="52" spans="2:6">
      <c r="B52" s="56" t="s">
        <v>244</v>
      </c>
      <c r="C52" s="56">
        <v>0</v>
      </c>
      <c r="D52" s="72"/>
      <c r="E52" s="59" t="s">
        <v>244</v>
      </c>
      <c r="F52" s="59">
        <v>0</v>
      </c>
    </row>
    <row r="53" spans="2:6">
      <c r="B53" s="56" t="s">
        <v>245</v>
      </c>
      <c r="C53" s="56">
        <v>0</v>
      </c>
      <c r="D53" s="72"/>
      <c r="E53" s="59" t="s">
        <v>245</v>
      </c>
      <c r="F53" s="59">
        <v>0</v>
      </c>
    </row>
    <row r="54" spans="2:6">
      <c r="B54" s="56" t="s">
        <v>2120</v>
      </c>
      <c r="C54" s="56">
        <v>0</v>
      </c>
      <c r="E54" s="59" t="s">
        <v>2120</v>
      </c>
      <c r="F54" s="59">
        <v>0</v>
      </c>
    </row>
  </sheetData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88FB8E7-679D-47FD-AE76-1FDEABFC3A2D}">
            <xm:f>$M$25&gt;冒険者職業レベル!$E$23-1</xm:f>
            <x14:dxf>
              <font>
                <color theme="1"/>
              </font>
            </x14:dxf>
          </x14:cfRule>
          <x14:cfRule type="expression" priority="9" id="{9639DC19-06C6-43BC-9DC9-5ACE8E8E07F2}">
            <xm:f>$M$25&gt;冒険者職業レベル!$E$22-1</xm:f>
            <x14:dxf>
              <font>
                <b val="0"/>
                <i val="0"/>
                <color rgb="FFFF0000"/>
              </font>
            </x14:dxf>
          </x14:cfRule>
          <xm:sqref>B23</xm:sqref>
        </x14:conditionalFormatting>
        <x14:conditionalFormatting xmlns:xm="http://schemas.microsoft.com/office/excel/2006/main">
          <x14:cfRule type="expression" priority="6" id="{F9CB5F8C-5550-4442-B81C-09BE5D9A64CC}">
            <xm:f>$M$25&gt;冒険者職業レベル!$E$24-1</xm:f>
            <x14:dxf>
              <font>
                <color theme="1"/>
              </font>
            </x14:dxf>
          </x14:cfRule>
          <x14:cfRule type="expression" priority="8" id="{AB122C62-BB1A-46A4-B436-FA084B4121B9}">
            <xm:f>$M$25&gt;冒険者職業レベル!$E$23-1</xm:f>
            <x14:dxf>
              <font>
                <color rgb="FFFF0000"/>
              </font>
            </x14:dxf>
          </x14:cfRule>
          <xm:sqref>B24</xm:sqref>
        </x14:conditionalFormatting>
        <x14:conditionalFormatting xmlns:xm="http://schemas.microsoft.com/office/excel/2006/main">
          <x14:cfRule type="expression" priority="4" id="{8AB081B0-FAAB-4A6D-BD4E-15AD5C9BE9CF}">
            <xm:f>$M$25&gt;冒険者職業レベル!$E$25-1</xm:f>
            <x14:dxf>
              <font>
                <color theme="1"/>
              </font>
            </x14:dxf>
          </x14:cfRule>
          <x14:cfRule type="expression" priority="5" id="{2023E9BC-251E-41DD-A62A-FAAA8E4D4403}">
            <xm:f>$M$25&gt;冒険者職業レベル!$E$24-1</xm:f>
            <x14:dxf>
              <font>
                <color rgb="FFFF0000"/>
              </font>
            </x14:dxf>
          </x14:cfRule>
          <xm:sqref>B25</xm:sqref>
        </x14:conditionalFormatting>
        <x14:conditionalFormatting xmlns:xm="http://schemas.microsoft.com/office/excel/2006/main">
          <x14:cfRule type="expression" priority="2" id="{FB486115-A850-469A-B066-56A23B516499}">
            <xm:f>$M$25&gt;冒険者職業レベル!$E$26-1</xm:f>
            <x14:dxf>
              <font>
                <color theme="1"/>
              </font>
            </x14:dxf>
          </x14:cfRule>
          <x14:cfRule type="expression" priority="3" id="{EC65B62A-EBC3-4DDC-A347-DB0A6AFDAA0C}">
            <xm:f>$M$25&gt;冒険者職業レベル!$E$25-1</xm:f>
            <x14:dxf>
              <font>
                <color rgb="FFFF0000"/>
              </font>
            </x14:dxf>
          </x14:cfRule>
          <xm:sqref>B26</xm:sqref>
        </x14:conditionalFormatting>
        <x14:conditionalFormatting xmlns:xm="http://schemas.microsoft.com/office/excel/2006/main">
          <x14:cfRule type="expression" priority="1" id="{37D92459-6D17-4E7B-BE59-89169F38AED6}">
            <xm:f>$M$25&gt;冒険者職業レベル!$E$26-1</xm:f>
            <x14:dxf>
              <font>
                <color rgb="FFFF0000"/>
              </font>
            </x14:dxf>
          </x14:cfRule>
          <xm:sqref>B27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ラベル!$Q$2:$Q$101</xm:f>
          </x14:formula1>
          <xm:sqref>R40 R37 L40 T44:T53 O40 W44:W135 AF44:AF135 Z44:Z135 AC45:AC135 W38 T38 F43:F54 O37 L37 I37 F37 F40 AC38:AC41 Z38:Z41 AF38:AF41 W41 T41 C37 C40 C43:C54</xm:sqref>
        </x14:dataValidation>
        <x14:dataValidation type="list" showInputMessage="1" showErrorMessage="1">
          <x14:formula1>
            <xm:f>ラベル!$AG$2:$AG$13</xm:f>
          </x14:formula1>
          <xm:sqref>AK43:AK183 AK38:AK41 AI38:AI41 AI43:AI143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DZ259"/>
  <sheetViews>
    <sheetView topLeftCell="BK231" zoomScale="115" zoomScaleNormal="115" workbookViewId="0">
      <selection activeCell="BR260" sqref="BR260"/>
    </sheetView>
  </sheetViews>
  <sheetFormatPr defaultRowHeight="13"/>
  <cols>
    <col min="1" max="1" width="17.36328125" bestFit="1" customWidth="1"/>
    <col min="4" max="4" width="15.7265625" bestFit="1" customWidth="1"/>
    <col min="5" max="7" width="5.26953125" bestFit="1" customWidth="1"/>
    <col min="8" max="8" width="7.26953125" bestFit="1" customWidth="1"/>
    <col min="9" max="9" width="5.26953125" bestFit="1" customWidth="1"/>
    <col min="64" max="64" width="20.90625" customWidth="1"/>
    <col min="80" max="80" width="14.6328125" bestFit="1" customWidth="1"/>
    <col min="81" max="81" width="7.26953125" bestFit="1" customWidth="1"/>
    <col min="82" max="82" width="5.26953125" bestFit="1" customWidth="1"/>
  </cols>
  <sheetData>
    <row r="1" spans="1:130">
      <c r="A1" t="s">
        <v>1697</v>
      </c>
      <c r="B1" t="s">
        <v>22</v>
      </c>
      <c r="D1" t="s">
        <v>21</v>
      </c>
      <c r="E1" t="s">
        <v>4</v>
      </c>
      <c r="F1" t="s">
        <v>791</v>
      </c>
      <c r="G1" t="s">
        <v>831</v>
      </c>
      <c r="H1" t="s">
        <v>876</v>
      </c>
      <c r="I1" t="s">
        <v>918</v>
      </c>
      <c r="K1" t="s">
        <v>3</v>
      </c>
      <c r="L1" t="s">
        <v>1698</v>
      </c>
      <c r="N1" t="s">
        <v>26</v>
      </c>
      <c r="O1" t="s">
        <v>1698</v>
      </c>
      <c r="Q1" t="s">
        <v>38</v>
      </c>
      <c r="R1" t="s">
        <v>495</v>
      </c>
      <c r="T1" t="s">
        <v>734</v>
      </c>
      <c r="U1" t="s">
        <v>543</v>
      </c>
      <c r="V1" t="s">
        <v>1699</v>
      </c>
      <c r="X1" t="s">
        <v>543</v>
      </c>
      <c r="Y1" t="s">
        <v>1700</v>
      </c>
      <c r="AA1" t="s">
        <v>1700</v>
      </c>
      <c r="AB1" t="s">
        <v>567</v>
      </c>
      <c r="AD1" t="s">
        <v>567</v>
      </c>
      <c r="AE1" t="s">
        <v>1700</v>
      </c>
      <c r="AG1" t="s">
        <v>1701</v>
      </c>
      <c r="AH1" t="s">
        <v>540</v>
      </c>
      <c r="AI1" t="s">
        <v>1702</v>
      </c>
      <c r="AK1" t="s">
        <v>1703</v>
      </c>
      <c r="AL1" t="s">
        <v>540</v>
      </c>
      <c r="AM1" t="s">
        <v>1702</v>
      </c>
      <c r="AP1" t="s">
        <v>1704</v>
      </c>
      <c r="AQ1" t="s">
        <v>543</v>
      </c>
      <c r="AR1" t="s">
        <v>1705</v>
      </c>
      <c r="AT1" t="s">
        <v>575</v>
      </c>
      <c r="AU1" t="s">
        <v>1706</v>
      </c>
      <c r="AV1" t="s">
        <v>1707</v>
      </c>
      <c r="AX1" t="s">
        <v>660</v>
      </c>
      <c r="AY1" t="s">
        <v>495</v>
      </c>
      <c r="AZ1" t="s">
        <v>1708</v>
      </c>
      <c r="BA1" t="s">
        <v>1709</v>
      </c>
      <c r="BB1" t="s">
        <v>1710</v>
      </c>
      <c r="BC1" t="s">
        <v>538</v>
      </c>
      <c r="BD1" t="s">
        <v>1702</v>
      </c>
      <c r="BF1" t="s">
        <v>1711</v>
      </c>
      <c r="BG1" t="s">
        <v>562</v>
      </c>
      <c r="BH1" t="s">
        <v>384</v>
      </c>
      <c r="BI1" t="s">
        <v>431</v>
      </c>
      <c r="BJ1" t="s">
        <v>563</v>
      </c>
      <c r="BK1" t="s">
        <v>564</v>
      </c>
      <c r="BL1" t="s">
        <v>744</v>
      </c>
      <c r="BM1" t="s">
        <v>417</v>
      </c>
      <c r="BN1" t="s">
        <v>435</v>
      </c>
      <c r="BO1" t="s">
        <v>436</v>
      </c>
      <c r="BP1" t="s">
        <v>414</v>
      </c>
      <c r="BQ1" t="s">
        <v>415</v>
      </c>
      <c r="BR1" t="s">
        <v>437</v>
      </c>
      <c r="BS1" t="s">
        <v>421</v>
      </c>
      <c r="BT1" t="s">
        <v>2126</v>
      </c>
      <c r="BW1" t="s">
        <v>1712</v>
      </c>
      <c r="CA1" t="s">
        <v>1713</v>
      </c>
      <c r="CB1" t="s">
        <v>1714</v>
      </c>
      <c r="CC1" t="s">
        <v>3</v>
      </c>
      <c r="CD1" t="s">
        <v>439</v>
      </c>
      <c r="CE1" t="s">
        <v>1715</v>
      </c>
      <c r="CF1" t="s">
        <v>1716</v>
      </c>
      <c r="CG1" t="s">
        <v>565</v>
      </c>
      <c r="CH1" t="s">
        <v>661</v>
      </c>
      <c r="CJ1" t="s">
        <v>1717</v>
      </c>
      <c r="CK1" t="s">
        <v>439</v>
      </c>
      <c r="CL1" t="s">
        <v>1718</v>
      </c>
      <c r="CM1" t="s">
        <v>1719</v>
      </c>
      <c r="CO1" t="s">
        <v>1720</v>
      </c>
      <c r="CP1" t="s">
        <v>439</v>
      </c>
      <c r="CQ1" t="s">
        <v>1721</v>
      </c>
      <c r="CR1" t="s">
        <v>1722</v>
      </c>
      <c r="CS1" t="s">
        <v>1723</v>
      </c>
      <c r="CV1" t="s">
        <v>712</v>
      </c>
      <c r="CW1" t="s">
        <v>713</v>
      </c>
      <c r="CX1" t="s">
        <v>714</v>
      </c>
      <c r="CZ1" t="s">
        <v>1724</v>
      </c>
      <c r="DA1" t="s">
        <v>1725</v>
      </c>
      <c r="DC1" t="s">
        <v>48</v>
      </c>
      <c r="DD1" t="s">
        <v>1726</v>
      </c>
      <c r="DE1" t="s">
        <v>108</v>
      </c>
      <c r="DF1" t="s">
        <v>524</v>
      </c>
      <c r="DG1" t="s">
        <v>526</v>
      </c>
      <c r="DH1" t="s">
        <v>528</v>
      </c>
      <c r="DI1" t="s">
        <v>530</v>
      </c>
      <c r="DJ1" t="s">
        <v>532</v>
      </c>
      <c r="DK1" t="s">
        <v>534</v>
      </c>
      <c r="DL1" t="s">
        <v>536</v>
      </c>
      <c r="DN1" t="s">
        <v>425</v>
      </c>
      <c r="DO1" t="s">
        <v>1727</v>
      </c>
      <c r="DP1" t="s">
        <v>382</v>
      </c>
      <c r="DQ1" t="s">
        <v>404</v>
      </c>
      <c r="DR1" t="s">
        <v>410</v>
      </c>
      <c r="DS1" t="s">
        <v>412</v>
      </c>
      <c r="DT1" t="s">
        <v>1728</v>
      </c>
      <c r="DU1" t="s">
        <v>1729</v>
      </c>
      <c r="DV1" t="s">
        <v>388</v>
      </c>
      <c r="DW1" t="s">
        <v>168</v>
      </c>
      <c r="DX1" t="s">
        <v>2179</v>
      </c>
      <c r="DY1" t="s">
        <v>2197</v>
      </c>
      <c r="DZ1" t="s">
        <v>2202</v>
      </c>
    </row>
    <row r="2" spans="1:130">
      <c r="A2" t="s">
        <v>23</v>
      </c>
      <c r="B2">
        <v>5</v>
      </c>
      <c r="D2" t="s">
        <v>447</v>
      </c>
      <c r="E2">
        <v>3</v>
      </c>
      <c r="F2">
        <v>4</v>
      </c>
      <c r="G2">
        <v>1</v>
      </c>
      <c r="H2">
        <v>4</v>
      </c>
      <c r="I2">
        <v>1</v>
      </c>
      <c r="K2" t="s">
        <v>4</v>
      </c>
      <c r="L2">
        <v>2</v>
      </c>
      <c r="N2" t="s">
        <v>22</v>
      </c>
      <c r="O2">
        <v>4</v>
      </c>
      <c r="Q2">
        <v>2</v>
      </c>
      <c r="R2">
        <v>0</v>
      </c>
      <c r="T2" t="s">
        <v>786</v>
      </c>
      <c r="U2">
        <v>1</v>
      </c>
      <c r="V2">
        <v>0</v>
      </c>
      <c r="X2">
        <v>1</v>
      </c>
      <c r="Y2">
        <v>1</v>
      </c>
      <c r="AA2">
        <v>0</v>
      </c>
      <c r="AB2" s="18" t="s">
        <v>787</v>
      </c>
      <c r="AD2" s="18" t="s">
        <v>787</v>
      </c>
      <c r="AE2">
        <v>0</v>
      </c>
      <c r="AG2" s="18" t="s">
        <v>787</v>
      </c>
      <c r="AH2">
        <v>0</v>
      </c>
      <c r="AI2">
        <v>0</v>
      </c>
      <c r="AK2" s="18" t="s">
        <v>787</v>
      </c>
      <c r="AL2">
        <v>0</v>
      </c>
      <c r="AM2">
        <v>0</v>
      </c>
      <c r="AP2">
        <v>0</v>
      </c>
      <c r="AQ2">
        <v>1</v>
      </c>
      <c r="AR2">
        <v>10</v>
      </c>
      <c r="AT2" s="18" t="s">
        <v>787</v>
      </c>
      <c r="AU2">
        <v>0</v>
      </c>
      <c r="AV2" t="str">
        <f t="shared" ref="AV2:AV7" si="0">"生命力に+"&amp;AU2&amp;"のボーナスを得ます"</f>
        <v>生命力に+0のボーナスを得ます</v>
      </c>
      <c r="AX2" s="18" t="s">
        <v>787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F2" t="s">
        <v>793</v>
      </c>
      <c r="BG2" t="s">
        <v>740</v>
      </c>
      <c r="BH2" t="s">
        <v>1730</v>
      </c>
      <c r="BI2" t="s">
        <v>1731</v>
      </c>
      <c r="BJ2">
        <v>20</v>
      </c>
      <c r="BK2">
        <v>297</v>
      </c>
      <c r="BL2" t="s">
        <v>788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V2" t="str">
        <f>BX2&amp;"-"&amp;BY2</f>
        <v>1,2-1</v>
      </c>
      <c r="BW2" t="s">
        <v>1732</v>
      </c>
      <c r="BX2" t="s">
        <v>790</v>
      </c>
      <c r="BY2">
        <v>1</v>
      </c>
      <c r="CA2" t="str">
        <f>CC2&amp;"-"&amp;CD2</f>
        <v>只人-2</v>
      </c>
      <c r="CB2" t="str">
        <f>CC2&amp;"-"&amp;CD2&amp;"："&amp;CE2</f>
        <v>只人-2：冒険者</v>
      </c>
      <c r="CC2" t="s">
        <v>4</v>
      </c>
      <c r="CD2">
        <v>2</v>
      </c>
      <c r="CE2" t="s">
        <v>1733</v>
      </c>
      <c r="CJ2" t="str">
        <f>CK2&amp;"："&amp;CL2</f>
        <v>2：奴隷</v>
      </c>
      <c r="CK2">
        <v>2</v>
      </c>
      <c r="CL2" t="s">
        <v>1734</v>
      </c>
      <c r="CO2" t="str">
        <f>CP2&amp;"："&amp;CQ2</f>
        <v>2：宿敵</v>
      </c>
      <c r="CP2">
        <v>2</v>
      </c>
      <c r="CQ2" t="s">
        <v>1735</v>
      </c>
      <c r="CR2">
        <v>0</v>
      </c>
      <c r="CS2">
        <v>0</v>
      </c>
      <c r="CU2" t="s">
        <v>4</v>
      </c>
      <c r="CV2" t="s">
        <v>1736</v>
      </c>
      <c r="CW2" t="s">
        <v>1737</v>
      </c>
      <c r="CX2" t="s">
        <v>1738</v>
      </c>
      <c r="CZ2" t="s">
        <v>971</v>
      </c>
      <c r="DA2">
        <v>10</v>
      </c>
      <c r="DC2" t="s">
        <v>108</v>
      </c>
      <c r="DD2" s="19" t="s">
        <v>788</v>
      </c>
      <c r="DE2" s="19" t="s">
        <v>788</v>
      </c>
      <c r="DF2" s="19" t="s">
        <v>788</v>
      </c>
      <c r="DG2" s="19" t="s">
        <v>788</v>
      </c>
      <c r="DH2" s="19" t="s">
        <v>788</v>
      </c>
      <c r="DI2" s="19" t="s">
        <v>788</v>
      </c>
      <c r="DJ2" s="19" t="s">
        <v>788</v>
      </c>
      <c r="DK2" s="19" t="s">
        <v>788</v>
      </c>
      <c r="DL2" s="19" t="s">
        <v>788</v>
      </c>
      <c r="DM2">
        <v>1</v>
      </c>
      <c r="DN2" t="s">
        <v>1739</v>
      </c>
      <c r="DO2">
        <v>0</v>
      </c>
      <c r="DP2" t="str">
        <f>"-"</f>
        <v>-</v>
      </c>
      <c r="DQ2">
        <v>0</v>
      </c>
      <c r="DR2">
        <v>0</v>
      </c>
      <c r="DS2">
        <v>0</v>
      </c>
      <c r="DT2" s="18" t="s">
        <v>787</v>
      </c>
      <c r="DU2">
        <v>12</v>
      </c>
      <c r="DV2">
        <v>0</v>
      </c>
      <c r="DW2" s="18" t="s">
        <v>787</v>
      </c>
      <c r="DX2">
        <v>0</v>
      </c>
      <c r="DY2" t="s">
        <v>2204</v>
      </c>
      <c r="DZ2">
        <v>0</v>
      </c>
    </row>
    <row r="3" spans="1:130">
      <c r="A3" t="s">
        <v>24</v>
      </c>
      <c r="B3">
        <v>7</v>
      </c>
      <c r="D3" t="s">
        <v>448</v>
      </c>
      <c r="E3">
        <v>2</v>
      </c>
      <c r="F3">
        <v>2</v>
      </c>
      <c r="G3">
        <v>3</v>
      </c>
      <c r="H3">
        <v>3</v>
      </c>
      <c r="I3">
        <v>4</v>
      </c>
      <c r="K3" t="s">
        <v>791</v>
      </c>
      <c r="L3">
        <v>3</v>
      </c>
      <c r="N3" t="s">
        <v>443</v>
      </c>
      <c r="O3">
        <v>2</v>
      </c>
      <c r="Q3">
        <v>3</v>
      </c>
      <c r="R3">
        <v>0</v>
      </c>
      <c r="T3" t="s">
        <v>12</v>
      </c>
      <c r="U3">
        <v>2</v>
      </c>
      <c r="V3">
        <v>2</v>
      </c>
      <c r="X3">
        <v>2</v>
      </c>
      <c r="Y3">
        <v>2</v>
      </c>
      <c r="AA3">
        <v>1</v>
      </c>
      <c r="AB3" t="s">
        <v>792</v>
      </c>
      <c r="AD3" t="s">
        <v>792</v>
      </c>
      <c r="AE3">
        <v>1</v>
      </c>
      <c r="AG3" t="s">
        <v>792</v>
      </c>
      <c r="AH3">
        <v>5</v>
      </c>
      <c r="AI3">
        <v>0</v>
      </c>
      <c r="AK3" t="s">
        <v>792</v>
      </c>
      <c r="AL3">
        <v>1</v>
      </c>
      <c r="AM3">
        <v>0</v>
      </c>
      <c r="AP3">
        <v>4000</v>
      </c>
      <c r="AQ3">
        <v>2</v>
      </c>
      <c r="AR3">
        <v>25</v>
      </c>
      <c r="AT3" t="s">
        <v>792</v>
      </c>
      <c r="AU3">
        <v>5</v>
      </c>
      <c r="AV3" t="str">
        <f t="shared" si="0"/>
        <v>生命力に+5のボーナスを得ます</v>
      </c>
      <c r="AX3" t="s">
        <v>792</v>
      </c>
      <c r="AY3">
        <v>1</v>
      </c>
      <c r="AZ3">
        <v>1</v>
      </c>
      <c r="BA3">
        <v>1</v>
      </c>
      <c r="BB3">
        <v>1</v>
      </c>
      <c r="BC3">
        <v>1000</v>
      </c>
      <c r="BD3">
        <v>0</v>
      </c>
      <c r="BF3" t="s">
        <v>834</v>
      </c>
      <c r="BG3" t="s">
        <v>740</v>
      </c>
      <c r="BH3" t="s">
        <v>1740</v>
      </c>
      <c r="BI3" t="s">
        <v>1741</v>
      </c>
      <c r="BJ3">
        <v>10</v>
      </c>
      <c r="BK3">
        <v>297</v>
      </c>
      <c r="BL3" t="s">
        <v>2127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30</v>
      </c>
      <c r="BV3" t="str">
        <f t="shared" ref="BV3:BV19" si="1">BX3&amp;"-"&amp;BY3</f>
        <v>1,2-2</v>
      </c>
      <c r="BW3" t="s">
        <v>1742</v>
      </c>
      <c r="BX3" t="s">
        <v>790</v>
      </c>
      <c r="BY3">
        <v>2</v>
      </c>
      <c r="CA3" t="str">
        <f t="shared" ref="CA3:CA56" si="2">CC3&amp;"-"&amp;CD3</f>
        <v>只人-3</v>
      </c>
      <c r="CB3" t="str">
        <f t="shared" ref="CB3:CB56" si="3">CC3&amp;"-"&amp;CD3&amp;"："&amp;CE3</f>
        <v>只人-3：無頼</v>
      </c>
      <c r="CC3" t="s">
        <v>4</v>
      </c>
      <c r="CD3">
        <v>3</v>
      </c>
      <c r="CE3" t="s">
        <v>1743</v>
      </c>
      <c r="CJ3" t="str">
        <f t="shared" ref="CJ3:CJ12" si="4">CK3&amp;"："&amp;CL3</f>
        <v>3：牢獄</v>
      </c>
      <c r="CK3">
        <v>3</v>
      </c>
      <c r="CL3" t="s">
        <v>1744</v>
      </c>
      <c r="CO3" t="str">
        <f t="shared" ref="CO3:CO12" si="5">CP3&amp;"："&amp;CQ3</f>
        <v>3：上司</v>
      </c>
      <c r="CP3">
        <v>3</v>
      </c>
      <c r="CQ3" t="s">
        <v>1745</v>
      </c>
      <c r="CR3">
        <v>1</v>
      </c>
      <c r="CS3">
        <v>0</v>
      </c>
      <c r="CU3" t="s">
        <v>1746</v>
      </c>
      <c r="CV3" t="s">
        <v>1747</v>
      </c>
      <c r="CW3" t="s">
        <v>1748</v>
      </c>
      <c r="CX3" t="s">
        <v>1749</v>
      </c>
      <c r="CZ3" t="s">
        <v>1008</v>
      </c>
      <c r="DA3">
        <v>10</v>
      </c>
      <c r="DC3" t="s">
        <v>524</v>
      </c>
      <c r="DD3" t="s">
        <v>800</v>
      </c>
      <c r="DE3" t="str">
        <f>DE$1&amp;"："&amp;$DM3</f>
        <v>戦士：1</v>
      </c>
      <c r="DF3" t="str">
        <f t="shared" ref="DF3:DL12" si="6">DF$1&amp;"："&amp;$DM3</f>
        <v>武道家：1</v>
      </c>
      <c r="DG3" t="str">
        <f t="shared" si="6"/>
        <v>野伏：1</v>
      </c>
      <c r="DH3" t="str">
        <f t="shared" si="6"/>
        <v>斥候：1</v>
      </c>
      <c r="DI3" t="str">
        <f t="shared" si="6"/>
        <v>魔術師：1</v>
      </c>
      <c r="DJ3" t="str">
        <f t="shared" si="6"/>
        <v>神官：1</v>
      </c>
      <c r="DK3" t="str">
        <f t="shared" si="6"/>
        <v>竜司祭：1</v>
      </c>
      <c r="DL3" t="str">
        <f t="shared" si="6"/>
        <v>精霊使い：1</v>
      </c>
      <c r="DM3">
        <v>1</v>
      </c>
      <c r="DN3" t="s">
        <v>1750</v>
      </c>
      <c r="DO3">
        <v>-4</v>
      </c>
      <c r="DP3" t="s">
        <v>1751</v>
      </c>
      <c r="DQ3">
        <v>-4</v>
      </c>
      <c r="DR3">
        <v>0</v>
      </c>
      <c r="DS3">
        <v>0</v>
      </c>
      <c r="DT3" t="s">
        <v>792</v>
      </c>
      <c r="DU3">
        <v>11</v>
      </c>
      <c r="DV3">
        <v>0</v>
      </c>
      <c r="DW3" t="s">
        <v>792</v>
      </c>
      <c r="DX3">
        <v>0</v>
      </c>
      <c r="DY3" t="s">
        <v>2198</v>
      </c>
      <c r="DZ3">
        <v>45</v>
      </c>
    </row>
    <row r="4" spans="1:130">
      <c r="A4" t="s">
        <v>25</v>
      </c>
      <c r="B4">
        <v>9</v>
      </c>
      <c r="D4" t="s">
        <v>449</v>
      </c>
      <c r="E4">
        <v>2</v>
      </c>
      <c r="F4">
        <v>4</v>
      </c>
      <c r="G4">
        <v>3</v>
      </c>
      <c r="H4">
        <v>2</v>
      </c>
      <c r="I4">
        <v>3</v>
      </c>
      <c r="K4" t="s">
        <v>831</v>
      </c>
      <c r="L4">
        <v>4</v>
      </c>
      <c r="Q4">
        <v>4</v>
      </c>
      <c r="R4">
        <v>0</v>
      </c>
      <c r="T4" t="s">
        <v>832</v>
      </c>
      <c r="U4">
        <v>3</v>
      </c>
      <c r="V4">
        <v>3</v>
      </c>
      <c r="X4">
        <v>3</v>
      </c>
      <c r="Y4">
        <v>2</v>
      </c>
      <c r="AA4">
        <v>2</v>
      </c>
      <c r="AB4" t="s">
        <v>833</v>
      </c>
      <c r="AD4" t="s">
        <v>833</v>
      </c>
      <c r="AE4">
        <v>2</v>
      </c>
      <c r="AG4" t="s">
        <v>833</v>
      </c>
      <c r="AH4">
        <v>15</v>
      </c>
      <c r="AI4">
        <v>10</v>
      </c>
      <c r="AK4" t="s">
        <v>833</v>
      </c>
      <c r="AL4">
        <v>6</v>
      </c>
      <c r="AM4">
        <v>5</v>
      </c>
      <c r="AP4">
        <v>7000</v>
      </c>
      <c r="AQ4">
        <v>3</v>
      </c>
      <c r="AR4">
        <v>40</v>
      </c>
      <c r="AT4" t="s">
        <v>833</v>
      </c>
      <c r="AU4">
        <v>10</v>
      </c>
      <c r="AV4" t="str">
        <f t="shared" si="0"/>
        <v>生命力に+10のボーナスを得ます</v>
      </c>
      <c r="AX4" t="s">
        <v>833</v>
      </c>
      <c r="AY4">
        <v>2</v>
      </c>
      <c r="AZ4">
        <v>2</v>
      </c>
      <c r="BA4">
        <v>2</v>
      </c>
      <c r="BB4">
        <v>2</v>
      </c>
      <c r="BC4">
        <v>2000</v>
      </c>
      <c r="BD4">
        <v>1000</v>
      </c>
      <c r="BF4" t="s">
        <v>879</v>
      </c>
      <c r="BG4" t="s">
        <v>740</v>
      </c>
      <c r="BH4" t="s">
        <v>1730</v>
      </c>
      <c r="BI4" t="s">
        <v>1752</v>
      </c>
      <c r="BJ4">
        <v>15</v>
      </c>
      <c r="BK4">
        <v>298</v>
      </c>
      <c r="BL4" t="s">
        <v>802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2</v>
      </c>
      <c r="BV4" t="str">
        <f t="shared" si="1"/>
        <v>1,2-3</v>
      </c>
      <c r="BW4" t="s">
        <v>1753</v>
      </c>
      <c r="BX4" t="s">
        <v>790</v>
      </c>
      <c r="BY4">
        <v>3</v>
      </c>
      <c r="CA4" t="str">
        <f t="shared" si="2"/>
        <v>只人-4</v>
      </c>
      <c r="CB4" t="str">
        <f t="shared" si="3"/>
        <v>只人-4：猟師</v>
      </c>
      <c r="CC4" t="s">
        <v>4</v>
      </c>
      <c r="CD4">
        <v>4</v>
      </c>
      <c r="CE4" t="s">
        <v>1754</v>
      </c>
      <c r="CJ4" t="str">
        <f t="shared" si="4"/>
        <v>4：戦場</v>
      </c>
      <c r="CK4">
        <v>4</v>
      </c>
      <c r="CL4" t="s">
        <v>1755</v>
      </c>
      <c r="CO4" t="str">
        <f t="shared" si="5"/>
        <v>4：後輩</v>
      </c>
      <c r="CP4">
        <v>4</v>
      </c>
      <c r="CQ4" t="s">
        <v>1756</v>
      </c>
      <c r="CR4">
        <v>2</v>
      </c>
      <c r="CS4">
        <v>0</v>
      </c>
      <c r="CU4" t="s">
        <v>831</v>
      </c>
      <c r="CV4" t="s">
        <v>2077</v>
      </c>
      <c r="CW4" t="s">
        <v>1748</v>
      </c>
      <c r="CX4" t="s">
        <v>1757</v>
      </c>
      <c r="CZ4" t="s">
        <v>1044</v>
      </c>
      <c r="DA4">
        <v>10</v>
      </c>
      <c r="DC4" t="s">
        <v>526</v>
      </c>
      <c r="DD4" t="s">
        <v>843</v>
      </c>
      <c r="DE4" t="str">
        <f t="shared" ref="DE4:DE12" si="7">DE$1&amp;"："&amp;$DM4</f>
        <v>戦士：2</v>
      </c>
      <c r="DF4" t="str">
        <f t="shared" si="6"/>
        <v>武道家：2</v>
      </c>
      <c r="DG4" t="str">
        <f t="shared" si="6"/>
        <v>野伏：2</v>
      </c>
      <c r="DH4" t="str">
        <f t="shared" si="6"/>
        <v>斥候：2</v>
      </c>
      <c r="DI4" t="str">
        <f t="shared" si="6"/>
        <v>魔術師：2</v>
      </c>
      <c r="DJ4" t="str">
        <f t="shared" si="6"/>
        <v>神官：2</v>
      </c>
      <c r="DK4" t="str">
        <f t="shared" si="6"/>
        <v>竜司祭：2</v>
      </c>
      <c r="DL4" t="str">
        <f t="shared" si="6"/>
        <v>精霊使い：2</v>
      </c>
      <c r="DM4">
        <f>DM3+1</f>
        <v>2</v>
      </c>
      <c r="DN4" t="s">
        <v>1758</v>
      </c>
      <c r="DO4">
        <v>-8</v>
      </c>
      <c r="DP4" t="s">
        <v>1759</v>
      </c>
      <c r="DQ4">
        <v>-12</v>
      </c>
      <c r="DR4">
        <v>-4</v>
      </c>
      <c r="DS4">
        <v>-4</v>
      </c>
      <c r="DT4" t="s">
        <v>833</v>
      </c>
      <c r="DU4">
        <v>11</v>
      </c>
      <c r="DV4">
        <v>1</v>
      </c>
      <c r="DW4" t="s">
        <v>833</v>
      </c>
      <c r="DX4">
        <v>2</v>
      </c>
      <c r="DY4" t="s">
        <v>2199</v>
      </c>
      <c r="DZ4">
        <v>30</v>
      </c>
    </row>
    <row r="5" spans="1:130">
      <c r="D5" t="s">
        <v>35</v>
      </c>
      <c r="E5">
        <v>3</v>
      </c>
      <c r="F5">
        <v>1</v>
      </c>
      <c r="G5">
        <v>3</v>
      </c>
      <c r="H5">
        <v>2</v>
      </c>
      <c r="I5">
        <v>2</v>
      </c>
      <c r="K5" t="s">
        <v>876</v>
      </c>
      <c r="L5">
        <v>5</v>
      </c>
      <c r="Q5">
        <v>5</v>
      </c>
      <c r="R5">
        <v>0</v>
      </c>
      <c r="T5" t="s">
        <v>877</v>
      </c>
      <c r="U5">
        <v>4</v>
      </c>
      <c r="V5">
        <v>4</v>
      </c>
      <c r="X5">
        <v>4</v>
      </c>
      <c r="Y5">
        <v>3</v>
      </c>
      <c r="AA5">
        <v>3</v>
      </c>
      <c r="AB5" t="s">
        <v>878</v>
      </c>
      <c r="AD5" t="s">
        <v>878</v>
      </c>
      <c r="AE5">
        <v>3</v>
      </c>
      <c r="AG5" t="s">
        <v>878</v>
      </c>
      <c r="AH5">
        <v>30</v>
      </c>
      <c r="AI5">
        <v>25</v>
      </c>
      <c r="AK5" t="s">
        <v>878</v>
      </c>
      <c r="AL5">
        <v>21</v>
      </c>
      <c r="AM5">
        <v>20</v>
      </c>
      <c r="AP5">
        <v>11000</v>
      </c>
      <c r="AQ5">
        <v>4</v>
      </c>
      <c r="AR5">
        <v>60</v>
      </c>
      <c r="AT5" t="s">
        <v>878</v>
      </c>
      <c r="AU5">
        <v>15</v>
      </c>
      <c r="AV5" t="str">
        <f t="shared" si="0"/>
        <v>生命力に+15のボーナスを得ます</v>
      </c>
      <c r="AX5" t="s">
        <v>878</v>
      </c>
      <c r="AY5">
        <v>3</v>
      </c>
      <c r="AZ5">
        <v>4</v>
      </c>
      <c r="BA5">
        <v>3</v>
      </c>
      <c r="BB5">
        <v>3</v>
      </c>
      <c r="BC5">
        <v>3500</v>
      </c>
      <c r="BD5">
        <v>2500</v>
      </c>
      <c r="BF5" t="s">
        <v>921</v>
      </c>
      <c r="BG5" t="s">
        <v>740</v>
      </c>
      <c r="BH5" t="s">
        <v>1740</v>
      </c>
      <c r="BI5" t="s">
        <v>1752</v>
      </c>
      <c r="BJ5">
        <v>10</v>
      </c>
      <c r="BK5">
        <v>298</v>
      </c>
      <c r="BL5" t="s">
        <v>1760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5</v>
      </c>
      <c r="BV5" t="str">
        <f t="shared" si="1"/>
        <v>1,2-4</v>
      </c>
      <c r="BW5" t="s">
        <v>1761</v>
      </c>
      <c r="BX5" t="s">
        <v>790</v>
      </c>
      <c r="BY5">
        <v>4</v>
      </c>
      <c r="CA5" t="str">
        <f t="shared" si="2"/>
        <v>只人-5</v>
      </c>
      <c r="CB5" t="str">
        <f t="shared" si="3"/>
        <v>只人-5：学者</v>
      </c>
      <c r="CC5" t="s">
        <v>4</v>
      </c>
      <c r="CD5">
        <v>5</v>
      </c>
      <c r="CE5" t="s">
        <v>1762</v>
      </c>
      <c r="CJ5" t="str">
        <f t="shared" si="4"/>
        <v>5：神殿</v>
      </c>
      <c r="CK5">
        <v>5</v>
      </c>
      <c r="CL5" t="s">
        <v>1763</v>
      </c>
      <c r="CO5" t="str">
        <f t="shared" si="5"/>
        <v>5：取引相手</v>
      </c>
      <c r="CP5">
        <v>5</v>
      </c>
      <c r="CQ5" t="s">
        <v>1764</v>
      </c>
      <c r="CR5">
        <v>3</v>
      </c>
      <c r="CS5">
        <v>0</v>
      </c>
      <c r="CU5" t="s">
        <v>876</v>
      </c>
      <c r="CV5" t="s">
        <v>1765</v>
      </c>
      <c r="CW5" t="s">
        <v>1748</v>
      </c>
      <c r="CX5" t="s">
        <v>1766</v>
      </c>
      <c r="CZ5" t="s">
        <v>865</v>
      </c>
      <c r="DA5">
        <v>5</v>
      </c>
      <c r="DC5" t="s">
        <v>528</v>
      </c>
      <c r="DD5" t="s">
        <v>47</v>
      </c>
      <c r="DE5" t="str">
        <f t="shared" si="7"/>
        <v>戦士：3</v>
      </c>
      <c r="DF5" t="str">
        <f t="shared" si="6"/>
        <v>武道家：3</v>
      </c>
      <c r="DG5" t="str">
        <f t="shared" si="6"/>
        <v>野伏：3</v>
      </c>
      <c r="DH5" t="str">
        <f t="shared" si="6"/>
        <v>斥候：3</v>
      </c>
      <c r="DI5" t="str">
        <f t="shared" si="6"/>
        <v>魔術師：3</v>
      </c>
      <c r="DJ5" t="str">
        <f t="shared" si="6"/>
        <v>神官：3</v>
      </c>
      <c r="DK5" t="str">
        <f t="shared" si="6"/>
        <v>竜司祭：3</v>
      </c>
      <c r="DL5" t="str">
        <f t="shared" si="6"/>
        <v>精霊使い：3</v>
      </c>
      <c r="DM5">
        <f>DM4+1</f>
        <v>3</v>
      </c>
      <c r="DT5" t="s">
        <v>878</v>
      </c>
      <c r="DU5">
        <v>10</v>
      </c>
      <c r="DV5">
        <v>2</v>
      </c>
      <c r="DW5" t="s">
        <v>878</v>
      </c>
      <c r="DX5">
        <v>4</v>
      </c>
      <c r="DY5" t="s">
        <v>2200</v>
      </c>
      <c r="DZ5">
        <v>15</v>
      </c>
    </row>
    <row r="6" spans="1:130">
      <c r="D6" t="s">
        <v>451</v>
      </c>
      <c r="E6">
        <v>2</v>
      </c>
      <c r="F6">
        <v>3</v>
      </c>
      <c r="G6">
        <v>2</v>
      </c>
      <c r="H6">
        <v>3</v>
      </c>
      <c r="I6">
        <v>1</v>
      </c>
      <c r="K6" t="s">
        <v>918</v>
      </c>
      <c r="L6">
        <v>6</v>
      </c>
      <c r="Q6">
        <v>6</v>
      </c>
      <c r="R6">
        <v>0</v>
      </c>
      <c r="T6" t="s">
        <v>919</v>
      </c>
      <c r="U6">
        <v>5</v>
      </c>
      <c r="V6">
        <v>11</v>
      </c>
      <c r="X6">
        <v>5</v>
      </c>
      <c r="Y6">
        <v>3</v>
      </c>
      <c r="AA6">
        <v>4</v>
      </c>
      <c r="AB6" t="s">
        <v>920</v>
      </c>
      <c r="AD6" t="s">
        <v>920</v>
      </c>
      <c r="AE6">
        <v>4</v>
      </c>
      <c r="AG6" t="s">
        <v>920</v>
      </c>
      <c r="AH6">
        <v>55</v>
      </c>
      <c r="AI6">
        <v>50</v>
      </c>
      <c r="AP6">
        <v>16000</v>
      </c>
      <c r="AQ6">
        <v>5</v>
      </c>
      <c r="AR6">
        <v>80</v>
      </c>
      <c r="AT6" t="s">
        <v>920</v>
      </c>
      <c r="AU6">
        <v>20</v>
      </c>
      <c r="AV6" t="str">
        <f t="shared" si="0"/>
        <v>生命力に+20のボーナスを得ます</v>
      </c>
      <c r="AX6" t="s">
        <v>920</v>
      </c>
      <c r="AY6">
        <v>4</v>
      </c>
      <c r="BB6">
        <v>4</v>
      </c>
      <c r="BC6">
        <v>5500</v>
      </c>
      <c r="BD6">
        <v>4500</v>
      </c>
      <c r="BF6" t="s">
        <v>962</v>
      </c>
      <c r="BG6" t="s">
        <v>740</v>
      </c>
      <c r="BH6" t="s">
        <v>1767</v>
      </c>
      <c r="BI6" t="s">
        <v>1768</v>
      </c>
      <c r="BJ6">
        <v>15</v>
      </c>
      <c r="BK6">
        <v>299</v>
      </c>
      <c r="BL6" t="s">
        <v>130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35</v>
      </c>
      <c r="BV6" t="str">
        <f t="shared" si="1"/>
        <v>1,2-5</v>
      </c>
      <c r="BW6" t="s">
        <v>1769</v>
      </c>
      <c r="BX6" t="s">
        <v>790</v>
      </c>
      <c r="BY6">
        <v>5</v>
      </c>
      <c r="CA6" t="str">
        <f t="shared" si="2"/>
        <v>只人-6</v>
      </c>
      <c r="CB6" t="str">
        <f t="shared" si="3"/>
        <v>只人-6：職人</v>
      </c>
      <c r="CC6" t="s">
        <v>4</v>
      </c>
      <c r="CD6">
        <v>6</v>
      </c>
      <c r="CE6" t="s">
        <v>1770</v>
      </c>
      <c r="CJ6" t="str">
        <f t="shared" si="4"/>
        <v>6：孤児</v>
      </c>
      <c r="CK6">
        <v>6</v>
      </c>
      <c r="CL6" t="s">
        <v>1771</v>
      </c>
      <c r="CO6" t="str">
        <f t="shared" si="5"/>
        <v>6：部下</v>
      </c>
      <c r="CP6">
        <v>6</v>
      </c>
      <c r="CQ6" t="s">
        <v>1772</v>
      </c>
      <c r="CR6">
        <v>4</v>
      </c>
      <c r="CS6">
        <v>0</v>
      </c>
      <c r="CU6" t="s">
        <v>1773</v>
      </c>
      <c r="CV6" t="s">
        <v>1774</v>
      </c>
      <c r="CW6" t="s">
        <v>1775</v>
      </c>
      <c r="CX6" t="s">
        <v>1776</v>
      </c>
      <c r="CZ6" t="s">
        <v>1109</v>
      </c>
      <c r="DA6">
        <v>10</v>
      </c>
      <c r="DC6" t="s">
        <v>530</v>
      </c>
      <c r="DD6" t="s">
        <v>926</v>
      </c>
      <c r="DE6" t="str">
        <f t="shared" si="7"/>
        <v>戦士：4</v>
      </c>
      <c r="DF6" t="str">
        <f t="shared" si="6"/>
        <v>武道家：4</v>
      </c>
      <c r="DG6" t="str">
        <f t="shared" si="6"/>
        <v>野伏：4</v>
      </c>
      <c r="DH6" t="str">
        <f t="shared" si="6"/>
        <v>斥候：4</v>
      </c>
      <c r="DI6" t="str">
        <f t="shared" si="6"/>
        <v>魔術師：4</v>
      </c>
      <c r="DJ6" t="str">
        <f t="shared" si="6"/>
        <v>神官：4</v>
      </c>
      <c r="DK6" t="str">
        <f t="shared" si="6"/>
        <v>竜司祭：4</v>
      </c>
      <c r="DL6" t="str">
        <f t="shared" si="6"/>
        <v>精霊使い：4</v>
      </c>
      <c r="DM6">
        <f>DM5+1</f>
        <v>4</v>
      </c>
      <c r="DT6" t="s">
        <v>920</v>
      </c>
      <c r="DU6">
        <v>10</v>
      </c>
      <c r="DV6">
        <v>3</v>
      </c>
      <c r="DY6" t="s">
        <v>2201</v>
      </c>
      <c r="DZ6">
        <v>15</v>
      </c>
    </row>
    <row r="7" spans="1:130">
      <c r="D7" t="s">
        <v>452</v>
      </c>
      <c r="E7">
        <v>4</v>
      </c>
      <c r="F7">
        <v>3</v>
      </c>
      <c r="G7">
        <v>1</v>
      </c>
      <c r="H7">
        <v>2</v>
      </c>
      <c r="I7">
        <v>2</v>
      </c>
      <c r="Q7">
        <v>7</v>
      </c>
      <c r="R7">
        <v>1</v>
      </c>
      <c r="T7" t="s">
        <v>960</v>
      </c>
      <c r="U7">
        <v>5</v>
      </c>
      <c r="V7">
        <v>16</v>
      </c>
      <c r="X7">
        <v>6</v>
      </c>
      <c r="Y7">
        <v>4</v>
      </c>
      <c r="AA7">
        <v>5</v>
      </c>
      <c r="AB7" t="s">
        <v>961</v>
      </c>
      <c r="AD7" t="s">
        <v>961</v>
      </c>
      <c r="AE7">
        <v>5</v>
      </c>
      <c r="AG7" t="s">
        <v>961</v>
      </c>
      <c r="AH7">
        <v>95</v>
      </c>
      <c r="AI7">
        <v>90</v>
      </c>
      <c r="AP7">
        <v>23000</v>
      </c>
      <c r="AQ7">
        <v>6</v>
      </c>
      <c r="AR7">
        <v>105</v>
      </c>
      <c r="AT7" t="s">
        <v>961</v>
      </c>
      <c r="AU7">
        <v>30</v>
      </c>
      <c r="AV7" t="str">
        <f t="shared" si="0"/>
        <v>生命力に+30のボーナスを得ます</v>
      </c>
      <c r="AX7" t="s">
        <v>961</v>
      </c>
      <c r="AY7">
        <v>5</v>
      </c>
      <c r="BB7">
        <v>5</v>
      </c>
      <c r="BC7">
        <v>8000</v>
      </c>
      <c r="BD7">
        <v>7000</v>
      </c>
      <c r="BF7" t="s">
        <v>175</v>
      </c>
      <c r="BG7" t="s">
        <v>740</v>
      </c>
      <c r="BH7" t="s">
        <v>1740</v>
      </c>
      <c r="BI7" t="s">
        <v>1777</v>
      </c>
      <c r="BJ7" s="18" t="s">
        <v>2078</v>
      </c>
      <c r="BK7">
        <v>299</v>
      </c>
      <c r="BL7" t="s">
        <v>132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15</v>
      </c>
      <c r="BV7" t="str">
        <f t="shared" si="1"/>
        <v>1,2-6</v>
      </c>
      <c r="BW7" t="s">
        <v>1778</v>
      </c>
      <c r="BX7" t="s">
        <v>790</v>
      </c>
      <c r="BY7">
        <v>6</v>
      </c>
      <c r="CA7" t="str">
        <f t="shared" si="2"/>
        <v>只人-7</v>
      </c>
      <c r="CB7" t="str">
        <f t="shared" si="3"/>
        <v>只人-7：農民</v>
      </c>
      <c r="CC7" t="s">
        <v>4</v>
      </c>
      <c r="CD7">
        <v>7</v>
      </c>
      <c r="CE7" t="s">
        <v>1779</v>
      </c>
      <c r="CJ7" t="str">
        <f t="shared" si="4"/>
        <v>7：平穏</v>
      </c>
      <c r="CK7">
        <v>7</v>
      </c>
      <c r="CL7" t="s">
        <v>1780</v>
      </c>
      <c r="CO7" t="str">
        <f t="shared" si="5"/>
        <v>7：家族</v>
      </c>
      <c r="CP7">
        <v>7</v>
      </c>
      <c r="CQ7" t="s">
        <v>1781</v>
      </c>
      <c r="CR7">
        <v>5</v>
      </c>
      <c r="CS7">
        <v>1</v>
      </c>
      <c r="CZ7" t="s">
        <v>1140</v>
      </c>
      <c r="DA7">
        <v>10</v>
      </c>
      <c r="DC7" t="s">
        <v>532</v>
      </c>
      <c r="DD7" t="s">
        <v>968</v>
      </c>
      <c r="DE7" t="str">
        <f t="shared" si="7"/>
        <v>戦士：5</v>
      </c>
      <c r="DF7" t="str">
        <f t="shared" si="6"/>
        <v>武道家：5</v>
      </c>
      <c r="DG7" t="str">
        <f t="shared" si="6"/>
        <v>野伏：5</v>
      </c>
      <c r="DH7" t="str">
        <f t="shared" si="6"/>
        <v>斥候：5</v>
      </c>
      <c r="DI7" t="str">
        <f t="shared" si="6"/>
        <v>魔術師：5</v>
      </c>
      <c r="DJ7" t="str">
        <f t="shared" si="6"/>
        <v>神官：5</v>
      </c>
      <c r="DK7" t="str">
        <f t="shared" si="6"/>
        <v>竜司祭：5</v>
      </c>
      <c r="DL7" t="str">
        <f t="shared" si="6"/>
        <v>精霊使い：5</v>
      </c>
      <c r="DM7">
        <f t="shared" ref="DM7:DM12" si="8">DM6+1</f>
        <v>5</v>
      </c>
      <c r="DT7" t="s">
        <v>961</v>
      </c>
      <c r="DU7">
        <v>9</v>
      </c>
      <c r="DV7">
        <v>4</v>
      </c>
    </row>
    <row r="8" spans="1:130">
      <c r="D8" t="s">
        <v>453</v>
      </c>
      <c r="E8">
        <v>2</v>
      </c>
      <c r="F8">
        <v>1</v>
      </c>
      <c r="G8">
        <v>3</v>
      </c>
      <c r="H8">
        <v>2</v>
      </c>
      <c r="I8">
        <v>4</v>
      </c>
      <c r="Q8">
        <v>8</v>
      </c>
      <c r="R8">
        <v>1</v>
      </c>
      <c r="T8" t="s">
        <v>1001</v>
      </c>
      <c r="U8">
        <v>6</v>
      </c>
      <c r="V8">
        <v>22</v>
      </c>
      <c r="X8">
        <v>7</v>
      </c>
      <c r="Y8">
        <v>4</v>
      </c>
      <c r="AP8">
        <v>33000</v>
      </c>
      <c r="AQ8">
        <v>7</v>
      </c>
      <c r="AR8">
        <v>130</v>
      </c>
      <c r="BB8">
        <v>6</v>
      </c>
      <c r="BC8">
        <v>11500</v>
      </c>
      <c r="BD8">
        <v>10500</v>
      </c>
      <c r="BF8" t="s">
        <v>1037</v>
      </c>
      <c r="BG8" t="s">
        <v>740</v>
      </c>
      <c r="BH8" t="s">
        <v>1782</v>
      </c>
      <c r="BI8" t="s">
        <v>20</v>
      </c>
      <c r="BJ8">
        <v>10</v>
      </c>
      <c r="BK8">
        <v>300</v>
      </c>
      <c r="BL8" t="s">
        <v>838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25</v>
      </c>
      <c r="BV8" t="str">
        <f t="shared" si="1"/>
        <v>3,4-1</v>
      </c>
      <c r="BW8" t="s">
        <v>1783</v>
      </c>
      <c r="BX8" t="s">
        <v>799</v>
      </c>
      <c r="BY8">
        <v>1</v>
      </c>
      <c r="CA8" t="str">
        <f t="shared" si="2"/>
        <v>只人-8</v>
      </c>
      <c r="CB8" t="str">
        <f t="shared" si="3"/>
        <v>只人-8：商人</v>
      </c>
      <c r="CC8" t="s">
        <v>4</v>
      </c>
      <c r="CD8">
        <v>8</v>
      </c>
      <c r="CE8" t="s">
        <v>1784</v>
      </c>
      <c r="CJ8" t="str">
        <f t="shared" si="4"/>
        <v>8：貧困</v>
      </c>
      <c r="CK8">
        <v>8</v>
      </c>
      <c r="CL8" t="s">
        <v>1785</v>
      </c>
      <c r="CO8" t="str">
        <f t="shared" si="5"/>
        <v>8：親友</v>
      </c>
      <c r="CP8">
        <v>8</v>
      </c>
      <c r="CQ8" t="s">
        <v>1786</v>
      </c>
      <c r="CR8">
        <v>6</v>
      </c>
      <c r="CS8">
        <v>1</v>
      </c>
      <c r="CZ8" t="s">
        <v>2118</v>
      </c>
      <c r="DA8">
        <v>10</v>
      </c>
      <c r="DC8" t="s">
        <v>534</v>
      </c>
      <c r="DD8" t="s">
        <v>1007</v>
      </c>
      <c r="DE8" t="str">
        <f t="shared" si="7"/>
        <v>戦士：6</v>
      </c>
      <c r="DF8" t="str">
        <f t="shared" si="6"/>
        <v>武道家：6</v>
      </c>
      <c r="DG8" t="str">
        <f t="shared" si="6"/>
        <v>野伏：6</v>
      </c>
      <c r="DH8" t="str">
        <f t="shared" si="6"/>
        <v>斥候：6</v>
      </c>
      <c r="DI8" t="str">
        <f t="shared" si="6"/>
        <v>魔術師：6</v>
      </c>
      <c r="DJ8" t="str">
        <f t="shared" si="6"/>
        <v>神官：6</v>
      </c>
      <c r="DK8" t="str">
        <f t="shared" si="6"/>
        <v>竜司祭：6</v>
      </c>
      <c r="DL8" t="str">
        <f t="shared" si="6"/>
        <v>精霊使い：6</v>
      </c>
      <c r="DM8">
        <f t="shared" si="8"/>
        <v>6</v>
      </c>
    </row>
    <row r="9" spans="1:130">
      <c r="D9" t="s">
        <v>489</v>
      </c>
      <c r="E9">
        <v>3</v>
      </c>
      <c r="F9">
        <v>2</v>
      </c>
      <c r="G9">
        <v>4</v>
      </c>
      <c r="H9">
        <v>2</v>
      </c>
      <c r="I9">
        <v>3</v>
      </c>
      <c r="Q9">
        <v>9</v>
      </c>
      <c r="R9">
        <v>1</v>
      </c>
      <c r="T9" t="s">
        <v>1036</v>
      </c>
      <c r="U9">
        <v>6</v>
      </c>
      <c r="V9">
        <v>29</v>
      </c>
      <c r="X9">
        <v>8</v>
      </c>
      <c r="Y9">
        <v>4</v>
      </c>
      <c r="AP9">
        <v>47000</v>
      </c>
      <c r="AQ9">
        <v>8</v>
      </c>
      <c r="AR9">
        <v>160</v>
      </c>
      <c r="BB9">
        <v>7</v>
      </c>
      <c r="BC9">
        <v>16500</v>
      </c>
      <c r="BD9">
        <v>15500</v>
      </c>
      <c r="BF9" t="s">
        <v>57</v>
      </c>
      <c r="BG9" t="s">
        <v>740</v>
      </c>
      <c r="BH9" t="s">
        <v>1782</v>
      </c>
      <c r="BI9" t="s">
        <v>1787</v>
      </c>
      <c r="BJ9">
        <v>10</v>
      </c>
      <c r="BK9">
        <v>300</v>
      </c>
      <c r="BL9" t="s">
        <v>883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25</v>
      </c>
      <c r="BV9" t="str">
        <f t="shared" si="1"/>
        <v>3,4-2</v>
      </c>
      <c r="BW9" t="s">
        <v>1788</v>
      </c>
      <c r="BX9" t="s">
        <v>799</v>
      </c>
      <c r="BY9">
        <v>2</v>
      </c>
      <c r="CA9" t="str">
        <f t="shared" si="2"/>
        <v>只人-9</v>
      </c>
      <c r="CB9" t="str">
        <f t="shared" si="3"/>
        <v>只人-9：兵士</v>
      </c>
      <c r="CC9" t="s">
        <v>4</v>
      </c>
      <c r="CD9">
        <v>9</v>
      </c>
      <c r="CE9" t="s">
        <v>1789</v>
      </c>
      <c r="CJ9" t="str">
        <f t="shared" si="4"/>
        <v>9：学校</v>
      </c>
      <c r="CK9">
        <v>9</v>
      </c>
      <c r="CL9" t="s">
        <v>1790</v>
      </c>
      <c r="CO9" t="str">
        <f t="shared" si="5"/>
        <v>9：先輩</v>
      </c>
      <c r="CP9">
        <v>9</v>
      </c>
      <c r="CQ9" t="s">
        <v>1791</v>
      </c>
      <c r="CR9">
        <v>7</v>
      </c>
      <c r="CS9">
        <v>1</v>
      </c>
      <c r="DC9" t="s">
        <v>536</v>
      </c>
      <c r="DD9" t="s">
        <v>1041</v>
      </c>
      <c r="DE9" t="str">
        <f t="shared" si="7"/>
        <v>戦士：7</v>
      </c>
      <c r="DF9" t="str">
        <f t="shared" si="6"/>
        <v>武道家：7</v>
      </c>
      <c r="DG9" t="str">
        <f t="shared" si="6"/>
        <v>野伏：7</v>
      </c>
      <c r="DH9" t="str">
        <f t="shared" si="6"/>
        <v>斥候：7</v>
      </c>
      <c r="DI9" t="str">
        <f t="shared" si="6"/>
        <v>魔術師：7</v>
      </c>
      <c r="DJ9" t="str">
        <f t="shared" si="6"/>
        <v>神官：7</v>
      </c>
      <c r="DK9" t="str">
        <f t="shared" si="6"/>
        <v>竜司祭：7</v>
      </c>
      <c r="DL9" t="str">
        <f t="shared" si="6"/>
        <v>精霊使い：7</v>
      </c>
      <c r="DM9">
        <f t="shared" si="8"/>
        <v>7</v>
      </c>
    </row>
    <row r="10" spans="1:130">
      <c r="Q10">
        <v>10</v>
      </c>
      <c r="R10">
        <v>2</v>
      </c>
      <c r="T10" t="s">
        <v>1071</v>
      </c>
      <c r="U10">
        <v>7</v>
      </c>
      <c r="V10">
        <v>37</v>
      </c>
      <c r="X10">
        <v>9</v>
      </c>
      <c r="Y10">
        <v>5</v>
      </c>
      <c r="AP10">
        <v>66000</v>
      </c>
      <c r="AQ10">
        <v>9</v>
      </c>
      <c r="AR10">
        <v>190</v>
      </c>
      <c r="BB10">
        <v>8</v>
      </c>
      <c r="BC10">
        <v>23500</v>
      </c>
      <c r="BD10">
        <v>22500</v>
      </c>
      <c r="BF10" t="s">
        <v>60</v>
      </c>
      <c r="BG10" t="s">
        <v>740</v>
      </c>
      <c r="BH10" t="s">
        <v>1782</v>
      </c>
      <c r="BI10" t="s">
        <v>20</v>
      </c>
      <c r="BJ10">
        <v>10</v>
      </c>
      <c r="BK10">
        <v>301</v>
      </c>
      <c r="BL10" t="s">
        <v>925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5</v>
      </c>
      <c r="BV10" t="str">
        <f t="shared" si="1"/>
        <v>3,4-3</v>
      </c>
      <c r="BW10" t="s">
        <v>1792</v>
      </c>
      <c r="BX10" t="s">
        <v>799</v>
      </c>
      <c r="BY10">
        <v>3</v>
      </c>
      <c r="CA10" t="str">
        <f t="shared" si="2"/>
        <v>只人-10</v>
      </c>
      <c r="CB10" t="str">
        <f t="shared" si="3"/>
        <v>只人-10：騎士</v>
      </c>
      <c r="CC10" t="s">
        <v>4</v>
      </c>
      <c r="CD10">
        <v>10</v>
      </c>
      <c r="CE10" t="s">
        <v>1793</v>
      </c>
      <c r="CJ10" t="str">
        <f t="shared" si="4"/>
        <v>10：箱入り</v>
      </c>
      <c r="CK10">
        <v>10</v>
      </c>
      <c r="CL10" t="s">
        <v>1794</v>
      </c>
      <c r="CO10" t="str">
        <f t="shared" si="5"/>
        <v>10：婚約者</v>
      </c>
      <c r="CP10">
        <v>10</v>
      </c>
      <c r="CQ10" t="s">
        <v>1795</v>
      </c>
      <c r="CR10">
        <v>8</v>
      </c>
      <c r="CS10">
        <v>2</v>
      </c>
      <c r="DD10" t="s">
        <v>1075</v>
      </c>
      <c r="DE10" t="str">
        <f t="shared" si="7"/>
        <v>戦士：8</v>
      </c>
      <c r="DF10" t="str">
        <f t="shared" si="6"/>
        <v>武道家：8</v>
      </c>
      <c r="DG10" t="str">
        <f t="shared" si="6"/>
        <v>野伏：8</v>
      </c>
      <c r="DH10" t="str">
        <f t="shared" si="6"/>
        <v>斥候：8</v>
      </c>
      <c r="DI10" t="str">
        <f t="shared" si="6"/>
        <v>魔術師：8</v>
      </c>
      <c r="DJ10" t="str">
        <f t="shared" si="6"/>
        <v>神官：8</v>
      </c>
      <c r="DK10" t="str">
        <f t="shared" si="6"/>
        <v>竜司祭：8</v>
      </c>
      <c r="DL10" t="str">
        <f t="shared" si="6"/>
        <v>精霊使い：8</v>
      </c>
      <c r="DM10">
        <f t="shared" si="8"/>
        <v>8</v>
      </c>
    </row>
    <row r="11" spans="1:130">
      <c r="Q11">
        <v>11</v>
      </c>
      <c r="R11">
        <v>2</v>
      </c>
      <c r="X11">
        <v>10</v>
      </c>
      <c r="Y11">
        <v>5</v>
      </c>
      <c r="AP11">
        <v>91000</v>
      </c>
      <c r="AQ11">
        <v>10</v>
      </c>
      <c r="AR11">
        <v>225</v>
      </c>
      <c r="BB11">
        <v>9</v>
      </c>
      <c r="BC11">
        <v>33000</v>
      </c>
      <c r="BD11">
        <v>32000</v>
      </c>
      <c r="BF11" t="s">
        <v>1132</v>
      </c>
      <c r="BG11" t="s">
        <v>740</v>
      </c>
      <c r="BH11" t="s">
        <v>1767</v>
      </c>
      <c r="BI11" t="s">
        <v>1752</v>
      </c>
      <c r="BJ11">
        <v>10</v>
      </c>
      <c r="BK11">
        <v>301</v>
      </c>
      <c r="BL11" t="s">
        <v>966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2</v>
      </c>
      <c r="BV11" t="str">
        <f t="shared" si="1"/>
        <v>3,4-4</v>
      </c>
      <c r="BW11" t="s">
        <v>1796</v>
      </c>
      <c r="BX11" t="s">
        <v>799</v>
      </c>
      <c r="BY11">
        <v>4</v>
      </c>
      <c r="CA11" t="str">
        <f t="shared" si="2"/>
        <v>只人-11</v>
      </c>
      <c r="CB11" t="str">
        <f t="shared" si="3"/>
        <v>只人-11：神官</v>
      </c>
      <c r="CC11" t="s">
        <v>4</v>
      </c>
      <c r="CD11">
        <v>11</v>
      </c>
      <c r="CE11" t="s">
        <v>532</v>
      </c>
      <c r="CJ11" t="str">
        <f t="shared" si="4"/>
        <v>11：贅沢</v>
      </c>
      <c r="CK11">
        <v>11</v>
      </c>
      <c r="CL11" t="s">
        <v>1797</v>
      </c>
      <c r="CO11" t="str">
        <f t="shared" si="5"/>
        <v>11：好敵手</v>
      </c>
      <c r="CP11">
        <v>11</v>
      </c>
      <c r="CQ11" t="s">
        <v>1798</v>
      </c>
      <c r="CR11">
        <v>9</v>
      </c>
      <c r="CS11">
        <v>2</v>
      </c>
      <c r="DD11" t="s">
        <v>1106</v>
      </c>
      <c r="DE11" t="str">
        <f t="shared" si="7"/>
        <v>戦士：9</v>
      </c>
      <c r="DF11" t="str">
        <f t="shared" si="6"/>
        <v>武道家：9</v>
      </c>
      <c r="DG11" t="str">
        <f t="shared" si="6"/>
        <v>野伏：9</v>
      </c>
      <c r="DH11" t="str">
        <f t="shared" si="6"/>
        <v>斥候：9</v>
      </c>
      <c r="DI11" t="str">
        <f t="shared" si="6"/>
        <v>魔術師：9</v>
      </c>
      <c r="DJ11" t="str">
        <f t="shared" si="6"/>
        <v>神官：9</v>
      </c>
      <c r="DK11" t="str">
        <f t="shared" si="6"/>
        <v>竜司祭：9</v>
      </c>
      <c r="DL11" t="str">
        <f t="shared" si="6"/>
        <v>精霊使い：9</v>
      </c>
      <c r="DM11">
        <f t="shared" si="8"/>
        <v>9</v>
      </c>
    </row>
    <row r="12" spans="1:130">
      <c r="Q12">
        <v>12</v>
      </c>
      <c r="R12">
        <v>3</v>
      </c>
      <c r="BB12">
        <v>10</v>
      </c>
      <c r="BC12">
        <v>45500</v>
      </c>
      <c r="BD12">
        <v>44500</v>
      </c>
      <c r="BF12" t="s">
        <v>1160</v>
      </c>
      <c r="BG12" t="s">
        <v>740</v>
      </c>
      <c r="BH12" t="s">
        <v>1782</v>
      </c>
      <c r="BI12" t="s">
        <v>20</v>
      </c>
      <c r="BJ12">
        <v>5</v>
      </c>
      <c r="BK12">
        <v>302</v>
      </c>
      <c r="BL12" t="s">
        <v>1799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10</v>
      </c>
      <c r="BV12" t="str">
        <f t="shared" si="1"/>
        <v>3,4-5</v>
      </c>
      <c r="BW12" t="s">
        <v>1800</v>
      </c>
      <c r="BX12" t="s">
        <v>799</v>
      </c>
      <c r="BY12">
        <v>5</v>
      </c>
      <c r="CA12" t="str">
        <f t="shared" si="2"/>
        <v>只人-12</v>
      </c>
      <c r="CB12" t="str">
        <f t="shared" si="3"/>
        <v>只人-12：貴族</v>
      </c>
      <c r="CC12" t="s">
        <v>4</v>
      </c>
      <c r="CD12">
        <v>12</v>
      </c>
      <c r="CE12" t="s">
        <v>1801</v>
      </c>
      <c r="CJ12" t="str">
        <f t="shared" si="4"/>
        <v>12：宮廷</v>
      </c>
      <c r="CK12">
        <v>12</v>
      </c>
      <c r="CL12" t="s">
        <v>1802</v>
      </c>
      <c r="CO12" t="str">
        <f t="shared" si="5"/>
        <v>12：師匠</v>
      </c>
      <c r="CP12">
        <v>12</v>
      </c>
      <c r="CQ12" t="s">
        <v>1803</v>
      </c>
      <c r="CR12">
        <v>10</v>
      </c>
      <c r="CS12">
        <v>2</v>
      </c>
      <c r="DD12" t="s">
        <v>1137</v>
      </c>
      <c r="DE12" t="str">
        <f t="shared" si="7"/>
        <v>戦士：10</v>
      </c>
      <c r="DF12" t="str">
        <f t="shared" si="6"/>
        <v>武道家：10</v>
      </c>
      <c r="DG12" t="str">
        <f t="shared" si="6"/>
        <v>野伏：10</v>
      </c>
      <c r="DH12" t="str">
        <f t="shared" si="6"/>
        <v>斥候：10</v>
      </c>
      <c r="DI12" t="str">
        <f t="shared" si="6"/>
        <v>魔術師：10</v>
      </c>
      <c r="DJ12" t="str">
        <f t="shared" si="6"/>
        <v>神官：10</v>
      </c>
      <c r="DK12" t="str">
        <f t="shared" si="6"/>
        <v>竜司祭：10</v>
      </c>
      <c r="DL12" t="str">
        <f t="shared" si="6"/>
        <v>精霊使い：10</v>
      </c>
      <c r="DM12">
        <f t="shared" si="8"/>
        <v>10</v>
      </c>
    </row>
    <row r="13" spans="1:130">
      <c r="BF13" t="s">
        <v>1182</v>
      </c>
      <c r="BG13" t="s">
        <v>740</v>
      </c>
      <c r="BH13" t="s">
        <v>1767</v>
      </c>
      <c r="BI13" t="s">
        <v>1804</v>
      </c>
      <c r="BJ13">
        <v>10</v>
      </c>
      <c r="BK13">
        <v>303</v>
      </c>
      <c r="BL13" t="s">
        <v>1005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4</v>
      </c>
      <c r="BV13" t="str">
        <f t="shared" si="1"/>
        <v>3,4-6</v>
      </c>
      <c r="BW13" t="s">
        <v>1805</v>
      </c>
      <c r="BX13" t="s">
        <v>799</v>
      </c>
      <c r="BY13">
        <v>6</v>
      </c>
      <c r="CA13" t="str">
        <f t="shared" si="2"/>
        <v>鉱人-2</v>
      </c>
      <c r="CB13" t="str">
        <f t="shared" si="3"/>
        <v>鉱人-2：冒険者</v>
      </c>
      <c r="CC13" t="s">
        <v>1746</v>
      </c>
      <c r="CD13">
        <v>2</v>
      </c>
      <c r="CE13" t="s">
        <v>1733</v>
      </c>
      <c r="CR13">
        <v>11</v>
      </c>
      <c r="CS13">
        <v>3</v>
      </c>
      <c r="DD13" t="s">
        <v>1164</v>
      </c>
    </row>
    <row r="14" spans="1:130">
      <c r="BF14" t="s">
        <v>1204</v>
      </c>
      <c r="BG14" t="s">
        <v>740</v>
      </c>
      <c r="BH14" t="s">
        <v>1767</v>
      </c>
      <c r="BI14" t="s">
        <v>1731</v>
      </c>
      <c r="BJ14">
        <v>10</v>
      </c>
      <c r="BK14">
        <v>303</v>
      </c>
      <c r="BL14" t="s">
        <v>2128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20</v>
      </c>
      <c r="BV14" t="str">
        <f t="shared" si="1"/>
        <v>5,6-1</v>
      </c>
      <c r="BW14" t="s">
        <v>1806</v>
      </c>
      <c r="BX14" t="s">
        <v>842</v>
      </c>
      <c r="BY14">
        <v>1</v>
      </c>
      <c r="CA14" t="str">
        <f t="shared" si="2"/>
        <v>鉱人-3</v>
      </c>
      <c r="CB14" t="str">
        <f t="shared" si="3"/>
        <v>鉱人-3：無頼</v>
      </c>
      <c r="CC14" t="s">
        <v>1746</v>
      </c>
      <c r="CD14">
        <v>3</v>
      </c>
      <c r="CE14" t="s">
        <v>1743</v>
      </c>
      <c r="CR14">
        <v>12</v>
      </c>
      <c r="CS14">
        <v>3</v>
      </c>
      <c r="DD14" t="s">
        <v>1186</v>
      </c>
    </row>
    <row r="15" spans="1:130">
      <c r="BF15" t="s">
        <v>1223</v>
      </c>
      <c r="BG15" t="s">
        <v>740</v>
      </c>
      <c r="BH15" t="s">
        <v>1730</v>
      </c>
      <c r="BI15" t="s">
        <v>1731</v>
      </c>
      <c r="BJ15">
        <v>10</v>
      </c>
      <c r="BK15">
        <v>304</v>
      </c>
      <c r="BL15" t="s">
        <v>2129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20</v>
      </c>
      <c r="BV15" t="str">
        <f t="shared" si="1"/>
        <v>5,6-2</v>
      </c>
      <c r="BW15" t="s">
        <v>1808</v>
      </c>
      <c r="BX15" t="s">
        <v>842</v>
      </c>
      <c r="BY15">
        <v>2</v>
      </c>
      <c r="CA15" t="str">
        <f t="shared" si="2"/>
        <v>鉱人-4</v>
      </c>
      <c r="CB15" t="str">
        <f t="shared" si="3"/>
        <v>鉱人-4：猟師</v>
      </c>
      <c r="CC15" t="s">
        <v>1746</v>
      </c>
      <c r="CD15">
        <v>4</v>
      </c>
      <c r="CE15" t="s">
        <v>1754</v>
      </c>
      <c r="CR15">
        <v>13</v>
      </c>
      <c r="CS15">
        <v>4</v>
      </c>
      <c r="DD15" t="s">
        <v>1208</v>
      </c>
    </row>
    <row r="16" spans="1:130">
      <c r="BF16" t="s">
        <v>1243</v>
      </c>
      <c r="BG16" t="s">
        <v>740</v>
      </c>
      <c r="BH16" t="s">
        <v>1730</v>
      </c>
      <c r="BI16" t="s">
        <v>1731</v>
      </c>
      <c r="BJ16">
        <v>20</v>
      </c>
      <c r="BK16">
        <v>305</v>
      </c>
      <c r="BL16" t="s">
        <v>2130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20</v>
      </c>
      <c r="BV16" t="str">
        <f t="shared" si="1"/>
        <v>5,6-3</v>
      </c>
      <c r="BW16" t="s">
        <v>1810</v>
      </c>
      <c r="BX16" t="s">
        <v>842</v>
      </c>
      <c r="BY16">
        <v>3</v>
      </c>
      <c r="CA16" t="str">
        <f t="shared" si="2"/>
        <v>鉱人-5</v>
      </c>
      <c r="CB16" t="str">
        <f t="shared" si="3"/>
        <v>鉱人-5：商人</v>
      </c>
      <c r="CC16" t="s">
        <v>1746</v>
      </c>
      <c r="CD16">
        <v>5</v>
      </c>
      <c r="CE16" t="s">
        <v>1784</v>
      </c>
      <c r="CR16">
        <v>14</v>
      </c>
      <c r="CS16">
        <v>4</v>
      </c>
      <c r="DD16" t="s">
        <v>1228</v>
      </c>
    </row>
    <row r="17" spans="58:108">
      <c r="BF17" t="s">
        <v>1262</v>
      </c>
      <c r="BG17" t="s">
        <v>740</v>
      </c>
      <c r="BH17" t="s">
        <v>1730</v>
      </c>
      <c r="BI17" t="s">
        <v>1731</v>
      </c>
      <c r="BJ17">
        <v>10</v>
      </c>
      <c r="BK17">
        <v>306</v>
      </c>
      <c r="BL17" t="s">
        <v>2131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20</v>
      </c>
      <c r="BV17" t="str">
        <f t="shared" si="1"/>
        <v>5,6-4</v>
      </c>
      <c r="BW17" t="s">
        <v>1812</v>
      </c>
      <c r="BX17" t="s">
        <v>842</v>
      </c>
      <c r="BY17">
        <v>4</v>
      </c>
      <c r="CA17" t="str">
        <f t="shared" si="2"/>
        <v>鉱人-6</v>
      </c>
      <c r="CB17" t="str">
        <f t="shared" si="3"/>
        <v>鉱人-6：亭主</v>
      </c>
      <c r="CC17" t="s">
        <v>1746</v>
      </c>
      <c r="CD17">
        <v>6</v>
      </c>
      <c r="CE17" t="s">
        <v>1813</v>
      </c>
      <c r="CR17">
        <v>15</v>
      </c>
      <c r="CS17">
        <v>5</v>
      </c>
      <c r="DD17" t="s">
        <v>1248</v>
      </c>
    </row>
    <row r="18" spans="58:108">
      <c r="BF18" t="s">
        <v>1277</v>
      </c>
      <c r="BG18" t="s">
        <v>740</v>
      </c>
      <c r="BH18" t="s">
        <v>1767</v>
      </c>
      <c r="BI18" t="s">
        <v>1752</v>
      </c>
      <c r="BJ18">
        <v>10</v>
      </c>
      <c r="BK18">
        <v>306</v>
      </c>
      <c r="BL18" t="s">
        <v>2132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20</v>
      </c>
      <c r="BV18" t="str">
        <f t="shared" si="1"/>
        <v>5,6-5</v>
      </c>
      <c r="BW18" t="s">
        <v>1815</v>
      </c>
      <c r="BX18" t="s">
        <v>842</v>
      </c>
      <c r="BY18">
        <v>5</v>
      </c>
      <c r="CA18" t="str">
        <f t="shared" si="2"/>
        <v>鉱人-7</v>
      </c>
      <c r="CB18" t="str">
        <f t="shared" si="3"/>
        <v>鉱人-7：鍛冶師</v>
      </c>
      <c r="CC18" t="s">
        <v>1746</v>
      </c>
      <c r="CD18">
        <v>7</v>
      </c>
      <c r="CE18" t="s">
        <v>1816</v>
      </c>
      <c r="CR18">
        <v>16</v>
      </c>
      <c r="CS18">
        <v>6</v>
      </c>
      <c r="DD18" t="s">
        <v>1267</v>
      </c>
    </row>
    <row r="19" spans="58:108">
      <c r="BF19" t="s">
        <v>1292</v>
      </c>
      <c r="BG19" t="s">
        <v>740</v>
      </c>
      <c r="BH19" t="s">
        <v>1767</v>
      </c>
      <c r="BI19" t="s">
        <v>1752</v>
      </c>
      <c r="BJ19">
        <v>10</v>
      </c>
      <c r="BK19">
        <v>307</v>
      </c>
      <c r="BL19" t="s">
        <v>2133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20</v>
      </c>
      <c r="BV19" t="str">
        <f t="shared" si="1"/>
        <v>5,6-6</v>
      </c>
      <c r="BW19" t="s">
        <v>1818</v>
      </c>
      <c r="BX19" t="s">
        <v>842</v>
      </c>
      <c r="BY19">
        <v>6</v>
      </c>
      <c r="CA19" t="str">
        <f t="shared" si="2"/>
        <v>鉱人-8</v>
      </c>
      <c r="CB19" t="str">
        <f t="shared" si="3"/>
        <v>鉱人-8：職人</v>
      </c>
      <c r="CC19" t="s">
        <v>1746</v>
      </c>
      <c r="CD19">
        <v>8</v>
      </c>
      <c r="CE19" t="s">
        <v>1770</v>
      </c>
      <c r="CR19">
        <v>17</v>
      </c>
      <c r="CS19">
        <v>7</v>
      </c>
      <c r="DD19" t="s">
        <v>1282</v>
      </c>
    </row>
    <row r="20" spans="58:108">
      <c r="BF20" t="s">
        <v>1306</v>
      </c>
      <c r="BG20" t="s">
        <v>740</v>
      </c>
      <c r="BH20" t="s">
        <v>1730</v>
      </c>
      <c r="BI20" t="s">
        <v>1804</v>
      </c>
      <c r="BJ20">
        <v>15</v>
      </c>
      <c r="BK20">
        <v>307</v>
      </c>
      <c r="BL20" t="s">
        <v>1807</v>
      </c>
      <c r="BM20">
        <v>0</v>
      </c>
      <c r="BN20">
        <v>0</v>
      </c>
      <c r="BO20">
        <v>0</v>
      </c>
      <c r="BP20">
        <v>1</v>
      </c>
      <c r="BQ20">
        <v>0</v>
      </c>
      <c r="BR20">
        <v>0</v>
      </c>
      <c r="BS20">
        <v>0</v>
      </c>
      <c r="BT20">
        <v>50</v>
      </c>
      <c r="CA20" t="str">
        <f t="shared" si="2"/>
        <v>鉱人-9</v>
      </c>
      <c r="CB20" t="str">
        <f t="shared" si="3"/>
        <v>鉱人-9：兵士</v>
      </c>
      <c r="CC20" t="s">
        <v>1746</v>
      </c>
      <c r="CD20">
        <v>9</v>
      </c>
      <c r="CE20" t="s">
        <v>1789</v>
      </c>
      <c r="CR20">
        <v>18</v>
      </c>
      <c r="CS20">
        <v>8</v>
      </c>
      <c r="DD20" t="s">
        <v>1297</v>
      </c>
    </row>
    <row r="21" spans="58:108">
      <c r="BF21" t="s">
        <v>1320</v>
      </c>
      <c r="BG21" t="s">
        <v>740</v>
      </c>
      <c r="BH21" t="s">
        <v>1782</v>
      </c>
      <c r="BI21" t="s">
        <v>1731</v>
      </c>
      <c r="BJ21">
        <v>10</v>
      </c>
      <c r="BK21">
        <v>308</v>
      </c>
      <c r="BL21" t="s">
        <v>1809</v>
      </c>
      <c r="BM21">
        <v>0</v>
      </c>
      <c r="BN21">
        <v>0</v>
      </c>
      <c r="BO21">
        <v>0</v>
      </c>
      <c r="BP21">
        <v>2</v>
      </c>
      <c r="BQ21">
        <v>0</v>
      </c>
      <c r="BR21">
        <v>0</v>
      </c>
      <c r="BS21">
        <v>0</v>
      </c>
      <c r="BT21">
        <v>500</v>
      </c>
      <c r="CA21" t="str">
        <f t="shared" si="2"/>
        <v>鉱人-10</v>
      </c>
      <c r="CB21" t="str">
        <f t="shared" si="3"/>
        <v>鉱人-10：盾砕き</v>
      </c>
      <c r="CC21" t="s">
        <v>1746</v>
      </c>
      <c r="CD21">
        <v>10</v>
      </c>
      <c r="CE21" t="s">
        <v>1820</v>
      </c>
      <c r="CR21">
        <v>19</v>
      </c>
      <c r="CS21">
        <v>9</v>
      </c>
      <c r="DD21" t="s">
        <v>1311</v>
      </c>
    </row>
    <row r="22" spans="58:108">
      <c r="BF22" t="s">
        <v>1332</v>
      </c>
      <c r="BG22" t="s">
        <v>740</v>
      </c>
      <c r="BH22" t="s">
        <v>1730</v>
      </c>
      <c r="BI22" t="s">
        <v>1741</v>
      </c>
      <c r="BJ22">
        <v>10</v>
      </c>
      <c r="BK22">
        <v>308</v>
      </c>
      <c r="BL22" t="s">
        <v>1811</v>
      </c>
      <c r="BM22">
        <v>0</v>
      </c>
      <c r="BN22">
        <v>0</v>
      </c>
      <c r="BO22">
        <v>0</v>
      </c>
      <c r="BP22">
        <v>3</v>
      </c>
      <c r="BQ22">
        <v>0</v>
      </c>
      <c r="BR22">
        <v>0</v>
      </c>
      <c r="BS22">
        <v>0</v>
      </c>
      <c r="BT22">
        <v>5000</v>
      </c>
      <c r="CA22" t="str">
        <f t="shared" si="2"/>
        <v>鉱人-11</v>
      </c>
      <c r="CB22" t="str">
        <f t="shared" si="3"/>
        <v>鉱人-11：神官</v>
      </c>
      <c r="CC22" t="s">
        <v>1746</v>
      </c>
      <c r="CD22">
        <v>11</v>
      </c>
      <c r="CE22" t="s">
        <v>532</v>
      </c>
      <c r="CR22">
        <v>20</v>
      </c>
      <c r="CS22">
        <v>10</v>
      </c>
      <c r="DD22" t="s">
        <v>1325</v>
      </c>
    </row>
    <row r="23" spans="58:108">
      <c r="BF23" t="s">
        <v>1341</v>
      </c>
      <c r="BG23" t="s">
        <v>740</v>
      </c>
      <c r="BH23" t="s">
        <v>1767</v>
      </c>
      <c r="BI23" t="s">
        <v>1752</v>
      </c>
      <c r="BJ23">
        <v>10</v>
      </c>
      <c r="BK23">
        <v>309</v>
      </c>
      <c r="BL23" t="s">
        <v>1814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1</v>
      </c>
      <c r="BS23">
        <v>0</v>
      </c>
      <c r="BT23">
        <v>50</v>
      </c>
      <c r="CA23" t="str">
        <f t="shared" si="2"/>
        <v>鉱人-12</v>
      </c>
      <c r="CB23" t="str">
        <f t="shared" si="3"/>
        <v>鉱人-12：貴族</v>
      </c>
      <c r="CC23" t="s">
        <v>1746</v>
      </c>
      <c r="CD23">
        <v>12</v>
      </c>
      <c r="CE23" t="s">
        <v>1801</v>
      </c>
      <c r="CR23">
        <v>21</v>
      </c>
      <c r="CS23">
        <v>11</v>
      </c>
      <c r="DD23" t="s">
        <v>1336</v>
      </c>
    </row>
    <row r="24" spans="58:108">
      <c r="BF24" t="s">
        <v>1352</v>
      </c>
      <c r="BG24" t="s">
        <v>740</v>
      </c>
      <c r="BH24" t="s">
        <v>1767</v>
      </c>
      <c r="BI24" t="s">
        <v>1731</v>
      </c>
      <c r="BJ24">
        <v>15</v>
      </c>
      <c r="BK24">
        <v>309</v>
      </c>
      <c r="BL24" t="s">
        <v>1817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2</v>
      </c>
      <c r="BS24">
        <v>0</v>
      </c>
      <c r="BT24">
        <v>500</v>
      </c>
      <c r="CA24" t="str">
        <f t="shared" si="2"/>
        <v>森人-2</v>
      </c>
      <c r="CB24" t="str">
        <f t="shared" si="3"/>
        <v>森人-2：冒険者</v>
      </c>
      <c r="CC24" t="s">
        <v>831</v>
      </c>
      <c r="CD24">
        <v>2</v>
      </c>
      <c r="CE24" t="s">
        <v>1733</v>
      </c>
      <c r="CR24">
        <v>22</v>
      </c>
      <c r="CS24">
        <v>12</v>
      </c>
      <c r="DD24" t="s">
        <v>1344</v>
      </c>
    </row>
    <row r="25" spans="58:108">
      <c r="BF25" t="s">
        <v>1362</v>
      </c>
      <c r="BG25" t="s">
        <v>740</v>
      </c>
      <c r="BH25" t="s">
        <v>1740</v>
      </c>
      <c r="BI25" t="s">
        <v>1821</v>
      </c>
      <c r="BJ25">
        <v>10</v>
      </c>
      <c r="BK25">
        <v>310</v>
      </c>
      <c r="BL25" t="s">
        <v>1105</v>
      </c>
      <c r="BM25">
        <v>0</v>
      </c>
      <c r="BN25">
        <v>0</v>
      </c>
      <c r="BO25">
        <v>0</v>
      </c>
      <c r="BP25">
        <v>0</v>
      </c>
      <c r="BQ25">
        <v>1</v>
      </c>
      <c r="BR25">
        <v>0</v>
      </c>
      <c r="BS25">
        <v>0</v>
      </c>
      <c r="BT25">
        <v>50</v>
      </c>
      <c r="CA25" t="str">
        <f t="shared" si="2"/>
        <v>森人-3</v>
      </c>
      <c r="CB25" t="str">
        <f t="shared" si="3"/>
        <v>森人-3：無頼</v>
      </c>
      <c r="CC25" t="s">
        <v>831</v>
      </c>
      <c r="CD25">
        <v>3</v>
      </c>
      <c r="CE25" t="s">
        <v>1743</v>
      </c>
      <c r="CR25">
        <v>23</v>
      </c>
      <c r="CS25">
        <v>13</v>
      </c>
      <c r="DD25" t="s">
        <v>1354</v>
      </c>
    </row>
    <row r="26" spans="58:108">
      <c r="BF26" t="s">
        <v>1373</v>
      </c>
      <c r="BG26" t="s">
        <v>740</v>
      </c>
      <c r="BH26" t="s">
        <v>2079</v>
      </c>
      <c r="BI26" t="s">
        <v>2080</v>
      </c>
      <c r="BJ26">
        <v>15</v>
      </c>
      <c r="BK26">
        <v>310</v>
      </c>
      <c r="BL26" t="s">
        <v>1819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</v>
      </c>
      <c r="BT26">
        <v>50</v>
      </c>
      <c r="CA26" t="str">
        <f t="shared" si="2"/>
        <v>森人-4</v>
      </c>
      <c r="CB26" t="str">
        <f t="shared" si="3"/>
        <v>森人-4：半森人</v>
      </c>
      <c r="CC26" t="s">
        <v>831</v>
      </c>
      <c r="CD26">
        <v>4</v>
      </c>
      <c r="CE26" t="s">
        <v>1823</v>
      </c>
      <c r="CR26">
        <v>24</v>
      </c>
      <c r="CS26">
        <v>14</v>
      </c>
      <c r="DD26" t="s">
        <v>1366</v>
      </c>
    </row>
    <row r="27" spans="58:108">
      <c r="BF27" t="s">
        <v>1385</v>
      </c>
      <c r="BG27" t="s">
        <v>740</v>
      </c>
      <c r="BH27" t="s">
        <v>2081</v>
      </c>
      <c r="BI27" t="s">
        <v>2082</v>
      </c>
      <c r="BJ27">
        <v>5</v>
      </c>
      <c r="BK27">
        <v>310</v>
      </c>
      <c r="BL27" t="s">
        <v>1136</v>
      </c>
      <c r="BM27">
        <v>-2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30</v>
      </c>
      <c r="CA27" t="str">
        <f t="shared" si="2"/>
        <v>森人-5</v>
      </c>
      <c r="CB27" t="str">
        <f t="shared" si="3"/>
        <v>森人-5：細工師</v>
      </c>
      <c r="CC27" t="s">
        <v>831</v>
      </c>
      <c r="CD27">
        <v>5</v>
      </c>
      <c r="CE27" t="s">
        <v>1824</v>
      </c>
      <c r="CR27">
        <v>25</v>
      </c>
      <c r="CS27">
        <v>15</v>
      </c>
      <c r="DD27" t="s">
        <v>1377</v>
      </c>
    </row>
    <row r="28" spans="58:108">
      <c r="BF28" t="s">
        <v>1393</v>
      </c>
      <c r="BG28" t="s">
        <v>740</v>
      </c>
      <c r="BH28" t="s">
        <v>2083</v>
      </c>
      <c r="BI28" t="s">
        <v>2082</v>
      </c>
      <c r="BJ28">
        <v>5</v>
      </c>
      <c r="BK28">
        <v>311</v>
      </c>
      <c r="BL28" t="s">
        <v>134</v>
      </c>
      <c r="BM28">
        <v>-2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30</v>
      </c>
      <c r="CA28" t="str">
        <f t="shared" si="2"/>
        <v>森人-6</v>
      </c>
      <c r="CB28" t="str">
        <f t="shared" si="3"/>
        <v>森人-6：兵士</v>
      </c>
      <c r="CC28" t="s">
        <v>831</v>
      </c>
      <c r="CD28">
        <v>6</v>
      </c>
      <c r="CE28" t="s">
        <v>1789</v>
      </c>
      <c r="CR28">
        <v>26</v>
      </c>
      <c r="CS28">
        <v>16</v>
      </c>
      <c r="DD28" t="s">
        <v>1388</v>
      </c>
    </row>
    <row r="29" spans="58:108">
      <c r="BF29" t="s">
        <v>1402</v>
      </c>
      <c r="BG29" t="s">
        <v>740</v>
      </c>
      <c r="BH29" t="s">
        <v>2083</v>
      </c>
      <c r="BI29" t="s">
        <v>2082</v>
      </c>
      <c r="BJ29">
        <v>10</v>
      </c>
      <c r="BK29">
        <v>311</v>
      </c>
      <c r="BL29" t="s">
        <v>1185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10</v>
      </c>
      <c r="CA29" t="str">
        <f t="shared" si="2"/>
        <v>森人-7</v>
      </c>
      <c r="CB29" t="str">
        <f t="shared" si="3"/>
        <v>森人-7：猟師</v>
      </c>
      <c r="CC29" t="s">
        <v>831</v>
      </c>
      <c r="CD29">
        <v>7</v>
      </c>
      <c r="CE29" t="s">
        <v>1754</v>
      </c>
      <c r="CR29">
        <v>27</v>
      </c>
      <c r="CS29">
        <v>17</v>
      </c>
      <c r="DD29" t="s">
        <v>1395</v>
      </c>
    </row>
    <row r="30" spans="58:108">
      <c r="BF30" t="s">
        <v>1413</v>
      </c>
      <c r="BG30" t="s">
        <v>740</v>
      </c>
      <c r="BH30" t="s">
        <v>2084</v>
      </c>
      <c r="BI30" t="s">
        <v>2085</v>
      </c>
      <c r="BJ30">
        <v>10</v>
      </c>
      <c r="BK30">
        <v>312</v>
      </c>
      <c r="BL30" t="s">
        <v>1135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1</v>
      </c>
      <c r="CA30" t="str">
        <f t="shared" si="2"/>
        <v>森人-8</v>
      </c>
      <c r="CB30" t="str">
        <f t="shared" si="3"/>
        <v>森人-8：詩人</v>
      </c>
      <c r="CC30" t="s">
        <v>831</v>
      </c>
      <c r="CD30">
        <v>8</v>
      </c>
      <c r="CE30" t="s">
        <v>1826</v>
      </c>
      <c r="CR30">
        <v>28</v>
      </c>
      <c r="CS30">
        <v>18</v>
      </c>
      <c r="DD30" t="s">
        <v>1405</v>
      </c>
    </row>
    <row r="31" spans="58:108">
      <c r="BF31" t="s">
        <v>1425</v>
      </c>
      <c r="BG31" t="s">
        <v>740</v>
      </c>
      <c r="BH31" t="s">
        <v>2084</v>
      </c>
      <c r="BI31" t="s">
        <v>2080</v>
      </c>
      <c r="BJ31">
        <v>10</v>
      </c>
      <c r="BK31">
        <v>312</v>
      </c>
      <c r="BL31" t="s">
        <v>1822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1</v>
      </c>
      <c r="CA31" t="str">
        <f t="shared" si="2"/>
        <v>森人-9</v>
      </c>
      <c r="CB31" t="str">
        <f t="shared" si="3"/>
        <v>森人-9：楽士</v>
      </c>
      <c r="CC31" t="s">
        <v>831</v>
      </c>
      <c r="CD31">
        <v>9</v>
      </c>
      <c r="CE31" t="s">
        <v>1828</v>
      </c>
      <c r="CR31">
        <v>29</v>
      </c>
      <c r="CS31">
        <v>19</v>
      </c>
      <c r="DD31" t="s">
        <v>1417</v>
      </c>
    </row>
    <row r="32" spans="58:108">
      <c r="BF32" t="s">
        <v>1437</v>
      </c>
      <c r="BG32" t="s">
        <v>740</v>
      </c>
      <c r="BH32" t="s">
        <v>2083</v>
      </c>
      <c r="BI32" t="s">
        <v>2082</v>
      </c>
      <c r="BJ32">
        <v>10</v>
      </c>
      <c r="BK32">
        <v>313</v>
      </c>
      <c r="BL32" t="s">
        <v>2116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1</v>
      </c>
      <c r="CA32" t="str">
        <f t="shared" si="2"/>
        <v>森人-10</v>
      </c>
      <c r="CB32" t="str">
        <f t="shared" si="3"/>
        <v>森人-10：語り部</v>
      </c>
      <c r="CC32" t="s">
        <v>831</v>
      </c>
      <c r="CD32">
        <v>10</v>
      </c>
      <c r="CE32" t="s">
        <v>1829</v>
      </c>
      <c r="CR32">
        <v>30</v>
      </c>
      <c r="CS32">
        <v>20</v>
      </c>
      <c r="DD32" t="s">
        <v>1429</v>
      </c>
    </row>
    <row r="33" spans="58:108">
      <c r="BF33" t="s">
        <v>1442</v>
      </c>
      <c r="BG33" t="s">
        <v>740</v>
      </c>
      <c r="BH33" t="s">
        <v>2081</v>
      </c>
      <c r="BI33" t="s">
        <v>2082</v>
      </c>
      <c r="BJ33">
        <v>10</v>
      </c>
      <c r="BK33">
        <v>313</v>
      </c>
      <c r="BL33" t="s">
        <v>2119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2</v>
      </c>
      <c r="CA33" t="str">
        <f t="shared" si="2"/>
        <v>森人-11</v>
      </c>
      <c r="CB33" t="str">
        <f t="shared" si="3"/>
        <v>森人-11：祈祷師</v>
      </c>
      <c r="CC33" t="s">
        <v>831</v>
      </c>
      <c r="CD33">
        <v>11</v>
      </c>
      <c r="CE33" t="s">
        <v>1830</v>
      </c>
      <c r="CR33">
        <v>31</v>
      </c>
      <c r="CS33">
        <v>21</v>
      </c>
      <c r="DD33" t="s">
        <v>1439</v>
      </c>
    </row>
    <row r="34" spans="58:108">
      <c r="BF34" t="s">
        <v>1448</v>
      </c>
      <c r="BG34" t="s">
        <v>740</v>
      </c>
      <c r="BH34" t="s">
        <v>2079</v>
      </c>
      <c r="BI34" t="s">
        <v>2080</v>
      </c>
      <c r="BJ34">
        <v>5</v>
      </c>
      <c r="BK34">
        <v>314</v>
      </c>
      <c r="BL34" t="s">
        <v>1227</v>
      </c>
      <c r="BM34">
        <v>-2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3</v>
      </c>
      <c r="CA34" t="str">
        <f t="shared" si="2"/>
        <v>森人-12</v>
      </c>
      <c r="CB34" t="str">
        <f t="shared" si="3"/>
        <v>森人-12：族長</v>
      </c>
      <c r="CC34" t="s">
        <v>831</v>
      </c>
      <c r="CD34">
        <v>12</v>
      </c>
      <c r="CE34" t="s">
        <v>1832</v>
      </c>
      <c r="CR34">
        <v>32</v>
      </c>
      <c r="CS34">
        <v>22</v>
      </c>
      <c r="DD34" t="s">
        <v>1444</v>
      </c>
    </row>
    <row r="35" spans="58:108">
      <c r="BF35" t="s">
        <v>1456</v>
      </c>
      <c r="BG35" t="s">
        <v>740</v>
      </c>
      <c r="BH35" t="s">
        <v>2084</v>
      </c>
      <c r="BI35" t="s">
        <v>2086</v>
      </c>
      <c r="BJ35">
        <v>10</v>
      </c>
      <c r="BK35">
        <v>315</v>
      </c>
      <c r="BL35" t="s">
        <v>1247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1</v>
      </c>
      <c r="CA35" t="str">
        <f t="shared" si="2"/>
        <v>蜥蜴人-2</v>
      </c>
      <c r="CB35" t="str">
        <f t="shared" si="3"/>
        <v>蜥蜴人-2：冒険者</v>
      </c>
      <c r="CC35" t="s">
        <v>876</v>
      </c>
      <c r="CD35">
        <v>2</v>
      </c>
      <c r="CE35" t="s">
        <v>1733</v>
      </c>
      <c r="CR35">
        <v>33</v>
      </c>
      <c r="CS35">
        <v>23</v>
      </c>
      <c r="DD35" t="s">
        <v>1451</v>
      </c>
    </row>
    <row r="36" spans="58:108">
      <c r="BF36" t="s">
        <v>1464</v>
      </c>
      <c r="BG36" t="s">
        <v>740</v>
      </c>
      <c r="BH36" t="s">
        <v>1833</v>
      </c>
      <c r="BI36" t="s">
        <v>1787</v>
      </c>
      <c r="BJ36">
        <v>10</v>
      </c>
      <c r="BK36">
        <v>316</v>
      </c>
      <c r="BL36" t="s">
        <v>1825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5</v>
      </c>
      <c r="CA36" t="str">
        <f t="shared" si="2"/>
        <v>蜥蜴人-3</v>
      </c>
      <c r="CB36" t="str">
        <f t="shared" si="3"/>
        <v>蜥蜴人-3：無頼</v>
      </c>
      <c r="CC36" t="s">
        <v>876</v>
      </c>
      <c r="CD36">
        <v>3</v>
      </c>
      <c r="CE36" t="s">
        <v>1743</v>
      </c>
      <c r="CR36">
        <v>34</v>
      </c>
      <c r="CS36">
        <v>24</v>
      </c>
      <c r="DD36" t="s">
        <v>1459</v>
      </c>
    </row>
    <row r="37" spans="58:108">
      <c r="BF37" t="s">
        <v>1470</v>
      </c>
      <c r="BG37" t="s">
        <v>740</v>
      </c>
      <c r="BH37" t="s">
        <v>2087</v>
      </c>
      <c r="BI37" t="s">
        <v>2088</v>
      </c>
      <c r="BJ37">
        <v>5</v>
      </c>
      <c r="BK37">
        <v>316</v>
      </c>
      <c r="BL37" t="s">
        <v>1266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1</v>
      </c>
      <c r="CA37" t="str">
        <f t="shared" si="2"/>
        <v>蜥蜴人-4</v>
      </c>
      <c r="CB37" t="str">
        <f t="shared" si="3"/>
        <v>蜥蜴人-4：奴隷</v>
      </c>
      <c r="CC37" t="s">
        <v>876</v>
      </c>
      <c r="CD37">
        <v>4</v>
      </c>
      <c r="CE37" t="s">
        <v>1734</v>
      </c>
      <c r="CR37">
        <v>35</v>
      </c>
      <c r="CS37">
        <v>25</v>
      </c>
      <c r="DD37" t="s">
        <v>1466</v>
      </c>
    </row>
    <row r="38" spans="58:108">
      <c r="BF38" t="s">
        <v>1475</v>
      </c>
      <c r="BG38" t="s">
        <v>740</v>
      </c>
      <c r="BH38" t="s">
        <v>2081</v>
      </c>
      <c r="BI38" t="s">
        <v>2089</v>
      </c>
      <c r="BJ38">
        <v>20</v>
      </c>
      <c r="BK38">
        <v>317</v>
      </c>
      <c r="BL38" t="s">
        <v>1827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10</v>
      </c>
      <c r="CA38" t="str">
        <f t="shared" si="2"/>
        <v>蜥蜴人-5</v>
      </c>
      <c r="CB38" t="str">
        <f t="shared" si="3"/>
        <v>蜥蜴人-5：騎兵</v>
      </c>
      <c r="CC38" t="s">
        <v>876</v>
      </c>
      <c r="CD38">
        <v>5</v>
      </c>
      <c r="CE38" t="s">
        <v>1836</v>
      </c>
      <c r="CR38">
        <v>36</v>
      </c>
      <c r="CS38">
        <v>26</v>
      </c>
      <c r="DD38" t="s">
        <v>1473</v>
      </c>
    </row>
    <row r="39" spans="58:108">
      <c r="BF39" t="s">
        <v>1482</v>
      </c>
      <c r="BG39" t="s">
        <v>740</v>
      </c>
      <c r="BH39" t="s">
        <v>2079</v>
      </c>
      <c r="BI39" t="s">
        <v>2090</v>
      </c>
      <c r="BJ39">
        <v>15</v>
      </c>
      <c r="BK39">
        <v>317</v>
      </c>
      <c r="BL39" t="s">
        <v>1281</v>
      </c>
      <c r="BM39">
        <v>-2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3</v>
      </c>
      <c r="CA39" t="str">
        <f t="shared" si="2"/>
        <v>蜥蜴人-6</v>
      </c>
      <c r="CB39" t="str">
        <f t="shared" si="3"/>
        <v>蜥蜴人-6：工兵</v>
      </c>
      <c r="CC39" t="s">
        <v>876</v>
      </c>
      <c r="CD39">
        <v>6</v>
      </c>
      <c r="CE39" t="s">
        <v>1838</v>
      </c>
      <c r="CR39">
        <v>37</v>
      </c>
      <c r="CS39">
        <v>27</v>
      </c>
      <c r="DD39" t="s">
        <v>1478</v>
      </c>
    </row>
    <row r="40" spans="58:108">
      <c r="BF40" t="s">
        <v>1488</v>
      </c>
      <c r="BG40" t="s">
        <v>740</v>
      </c>
      <c r="BH40" t="s">
        <v>2087</v>
      </c>
      <c r="BI40" t="s">
        <v>2085</v>
      </c>
      <c r="BJ40">
        <v>5</v>
      </c>
      <c r="BK40">
        <v>318</v>
      </c>
      <c r="BL40" t="s">
        <v>1296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2</v>
      </c>
      <c r="CA40" t="str">
        <f t="shared" si="2"/>
        <v>蜥蜴人-7</v>
      </c>
      <c r="CB40" t="str">
        <f t="shared" si="3"/>
        <v>蜥蜴人-7：弓兵</v>
      </c>
      <c r="CC40" t="s">
        <v>876</v>
      </c>
      <c r="CD40">
        <v>7</v>
      </c>
      <c r="CE40" t="s">
        <v>1839</v>
      </c>
      <c r="CR40">
        <v>38</v>
      </c>
      <c r="CS40">
        <v>28</v>
      </c>
      <c r="DD40" t="s">
        <v>1484</v>
      </c>
    </row>
    <row r="41" spans="58:108">
      <c r="BF41" t="s">
        <v>1375</v>
      </c>
      <c r="BG41" t="s">
        <v>740</v>
      </c>
      <c r="BH41" t="s">
        <v>2084</v>
      </c>
      <c r="BI41" t="s">
        <v>2091</v>
      </c>
      <c r="BJ41">
        <v>10</v>
      </c>
      <c r="BK41">
        <v>318</v>
      </c>
      <c r="BL41" t="s">
        <v>1831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20</v>
      </c>
      <c r="CA41" t="str">
        <f t="shared" si="2"/>
        <v>蜥蜴人-8</v>
      </c>
      <c r="CB41" t="str">
        <f t="shared" si="3"/>
        <v>蜥蜴人-8：槍兵</v>
      </c>
      <c r="CC41" t="s">
        <v>876</v>
      </c>
      <c r="CD41">
        <v>8</v>
      </c>
      <c r="CE41" t="s">
        <v>1840</v>
      </c>
      <c r="CR41">
        <v>39</v>
      </c>
      <c r="CS41">
        <v>29</v>
      </c>
      <c r="DD41" t="s">
        <v>1491</v>
      </c>
    </row>
    <row r="42" spans="58:108">
      <c r="BF42" t="s">
        <v>1364</v>
      </c>
      <c r="BG42" t="s">
        <v>740</v>
      </c>
      <c r="BH42" t="s">
        <v>1833</v>
      </c>
      <c r="BI42" t="s">
        <v>1768</v>
      </c>
      <c r="BJ42">
        <v>20</v>
      </c>
      <c r="BK42">
        <v>319</v>
      </c>
      <c r="BL42" t="s">
        <v>1310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20</v>
      </c>
      <c r="CA42" t="str">
        <f t="shared" si="2"/>
        <v>蜥蜴人-9</v>
      </c>
      <c r="CB42" t="str">
        <f t="shared" si="3"/>
        <v>蜥蜴人-9：歩兵</v>
      </c>
      <c r="CC42" t="s">
        <v>876</v>
      </c>
      <c r="CD42">
        <v>9</v>
      </c>
      <c r="CE42" t="s">
        <v>1842</v>
      </c>
      <c r="CR42">
        <v>40</v>
      </c>
      <c r="CS42">
        <v>30</v>
      </c>
      <c r="DD42" t="s">
        <v>1496</v>
      </c>
    </row>
    <row r="43" spans="58:108">
      <c r="BF43" t="s">
        <v>1506</v>
      </c>
      <c r="BG43" t="s">
        <v>740</v>
      </c>
      <c r="BH43" t="s">
        <v>2081</v>
      </c>
      <c r="BI43" t="s">
        <v>2085</v>
      </c>
      <c r="BJ43">
        <v>10</v>
      </c>
      <c r="BK43">
        <v>319</v>
      </c>
      <c r="BL43" t="s">
        <v>1834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200</v>
      </c>
      <c r="CA43" t="str">
        <f t="shared" si="2"/>
        <v>蜥蜴人-10</v>
      </c>
      <c r="CB43" t="str">
        <f t="shared" si="3"/>
        <v>蜥蜴人-10：軍師</v>
      </c>
      <c r="CC43" t="s">
        <v>876</v>
      </c>
      <c r="CD43">
        <v>10</v>
      </c>
      <c r="CE43" t="s">
        <v>1843</v>
      </c>
      <c r="DD43" t="s">
        <v>1503</v>
      </c>
    </row>
    <row r="44" spans="58:108">
      <c r="BF44" t="s">
        <v>64</v>
      </c>
      <c r="BG44" t="s">
        <v>740</v>
      </c>
      <c r="BH44" t="s">
        <v>1782</v>
      </c>
      <c r="BI44" t="s">
        <v>1844</v>
      </c>
      <c r="BJ44">
        <v>15</v>
      </c>
      <c r="BK44">
        <v>230</v>
      </c>
      <c r="BL44" t="s">
        <v>1324</v>
      </c>
      <c r="BM44">
        <v>-4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12</v>
      </c>
      <c r="CA44" t="str">
        <f t="shared" si="2"/>
        <v>蜥蜴人-11</v>
      </c>
      <c r="CB44" t="str">
        <f t="shared" si="3"/>
        <v>蜥蜴人-11：司祭</v>
      </c>
      <c r="CC44" t="s">
        <v>876</v>
      </c>
      <c r="CD44">
        <v>11</v>
      </c>
      <c r="CE44" t="s">
        <v>1845</v>
      </c>
      <c r="DD44" t="s">
        <v>1509</v>
      </c>
    </row>
    <row r="45" spans="58:108">
      <c r="BF45" t="s">
        <v>1520</v>
      </c>
      <c r="BG45" t="s">
        <v>740</v>
      </c>
      <c r="BH45" t="s">
        <v>2081</v>
      </c>
      <c r="BI45" t="s">
        <v>2082</v>
      </c>
      <c r="BJ45">
        <v>10</v>
      </c>
      <c r="BK45">
        <v>320</v>
      </c>
      <c r="BL45" t="s">
        <v>1835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3</v>
      </c>
      <c r="CA45" t="str">
        <f t="shared" si="2"/>
        <v>蜥蜴人-12</v>
      </c>
      <c r="CB45" t="str">
        <f t="shared" si="3"/>
        <v>蜥蜴人-12：王卵</v>
      </c>
      <c r="CC45" t="s">
        <v>876</v>
      </c>
      <c r="CD45">
        <v>12</v>
      </c>
      <c r="CE45" t="s">
        <v>1846</v>
      </c>
      <c r="DD45" t="s">
        <v>1516</v>
      </c>
    </row>
    <row r="46" spans="58:108">
      <c r="BF46" t="s">
        <v>1526</v>
      </c>
      <c r="BG46" t="s">
        <v>740</v>
      </c>
      <c r="BH46" t="s">
        <v>1833</v>
      </c>
      <c r="BI46" t="s">
        <v>1821</v>
      </c>
      <c r="BJ46">
        <v>10</v>
      </c>
      <c r="BK46">
        <v>321</v>
      </c>
      <c r="BL46" t="s">
        <v>1837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15</v>
      </c>
      <c r="CA46" t="str">
        <f t="shared" si="2"/>
        <v>圃人-2</v>
      </c>
      <c r="CB46" t="str">
        <f t="shared" si="3"/>
        <v>圃人-2：冒険者</v>
      </c>
      <c r="CC46" t="s">
        <v>1773</v>
      </c>
      <c r="CD46">
        <v>2</v>
      </c>
      <c r="CE46" t="s">
        <v>1733</v>
      </c>
      <c r="DD46" t="s">
        <v>50</v>
      </c>
    </row>
    <row r="47" spans="58:108">
      <c r="BF47" t="s">
        <v>1532</v>
      </c>
      <c r="BG47" t="s">
        <v>740</v>
      </c>
      <c r="BH47" t="s">
        <v>2079</v>
      </c>
      <c r="BI47" t="s">
        <v>2092</v>
      </c>
      <c r="BJ47">
        <v>10</v>
      </c>
      <c r="BK47">
        <v>321</v>
      </c>
      <c r="BL47" t="s">
        <v>1335</v>
      </c>
      <c r="BM47">
        <v>-2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6</v>
      </c>
      <c r="CA47" t="str">
        <f t="shared" si="2"/>
        <v>圃人-3</v>
      </c>
      <c r="CB47" t="str">
        <f t="shared" si="3"/>
        <v>圃人-3：無頼</v>
      </c>
      <c r="CC47" t="s">
        <v>1773</v>
      </c>
      <c r="CD47">
        <v>3</v>
      </c>
      <c r="CE47" t="s">
        <v>1743</v>
      </c>
      <c r="DD47" t="s">
        <v>1528</v>
      </c>
    </row>
    <row r="48" spans="58:108">
      <c r="BF48" t="s">
        <v>915</v>
      </c>
      <c r="BG48" t="s">
        <v>740</v>
      </c>
      <c r="BH48" t="s">
        <v>2084</v>
      </c>
      <c r="BI48" t="s">
        <v>20</v>
      </c>
      <c r="BJ48">
        <v>10</v>
      </c>
      <c r="BK48">
        <v>322</v>
      </c>
      <c r="BL48" t="s">
        <v>887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1</v>
      </c>
      <c r="CA48" t="str">
        <f t="shared" si="2"/>
        <v>圃人-4</v>
      </c>
      <c r="CB48" t="str">
        <f t="shared" si="3"/>
        <v>圃人-4：詩人</v>
      </c>
      <c r="CC48" t="s">
        <v>1773</v>
      </c>
      <c r="CD48">
        <v>4</v>
      </c>
      <c r="CE48" t="s">
        <v>1826</v>
      </c>
      <c r="DD48" t="s">
        <v>1534</v>
      </c>
    </row>
    <row r="49" spans="58:108">
      <c r="BF49" t="s">
        <v>1539</v>
      </c>
      <c r="BG49" t="s">
        <v>740</v>
      </c>
      <c r="BH49" t="s">
        <v>2081</v>
      </c>
      <c r="BI49" t="s">
        <v>2080</v>
      </c>
      <c r="BJ49">
        <v>5</v>
      </c>
      <c r="BK49">
        <v>322</v>
      </c>
      <c r="BL49" t="s">
        <v>1841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1</v>
      </c>
      <c r="CA49" t="str">
        <f t="shared" si="2"/>
        <v>圃人-5</v>
      </c>
      <c r="CB49" t="str">
        <f t="shared" si="3"/>
        <v>圃人-5：学者</v>
      </c>
      <c r="CC49" t="s">
        <v>1773</v>
      </c>
      <c r="CD49">
        <v>5</v>
      </c>
      <c r="CE49" t="s">
        <v>1762</v>
      </c>
      <c r="DD49" t="s">
        <v>1537</v>
      </c>
    </row>
    <row r="50" spans="58:108">
      <c r="BF50" t="s">
        <v>1543</v>
      </c>
      <c r="BG50" t="s">
        <v>740</v>
      </c>
      <c r="BH50" t="s">
        <v>2087</v>
      </c>
      <c r="BI50" t="s">
        <v>2085</v>
      </c>
      <c r="BJ50">
        <v>15</v>
      </c>
      <c r="BK50">
        <v>323</v>
      </c>
      <c r="BL50" t="s">
        <v>1353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1</v>
      </c>
      <c r="CA50" t="str">
        <f t="shared" si="2"/>
        <v>圃人-6</v>
      </c>
      <c r="CB50" t="str">
        <f t="shared" si="3"/>
        <v>圃人-6：職人</v>
      </c>
      <c r="CC50" t="s">
        <v>1773</v>
      </c>
      <c r="CD50">
        <v>6</v>
      </c>
      <c r="CE50" t="s">
        <v>1770</v>
      </c>
      <c r="DD50" t="s">
        <v>1541</v>
      </c>
    </row>
    <row r="51" spans="58:108">
      <c r="BF51" t="s">
        <v>1546</v>
      </c>
      <c r="BG51" t="s">
        <v>740</v>
      </c>
      <c r="BH51" t="s">
        <v>2081</v>
      </c>
      <c r="BI51" t="s">
        <v>2093</v>
      </c>
      <c r="BJ51">
        <v>5</v>
      </c>
      <c r="BK51">
        <v>323</v>
      </c>
      <c r="BL51" t="s">
        <v>2134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1</v>
      </c>
      <c r="CA51" t="str">
        <f t="shared" si="2"/>
        <v>圃人-7</v>
      </c>
      <c r="CB51" t="str">
        <f t="shared" si="3"/>
        <v>圃人-7：農民</v>
      </c>
      <c r="CC51" t="s">
        <v>1773</v>
      </c>
      <c r="CD51">
        <v>7</v>
      </c>
      <c r="CE51" t="s">
        <v>1779</v>
      </c>
      <c r="DD51" t="s">
        <v>1544</v>
      </c>
    </row>
    <row r="52" spans="58:108">
      <c r="BF52" t="s">
        <v>794</v>
      </c>
      <c r="BG52" t="s">
        <v>741</v>
      </c>
      <c r="BH52" t="s">
        <v>1849</v>
      </c>
      <c r="BI52" t="s">
        <v>1731</v>
      </c>
      <c r="BJ52">
        <v>10</v>
      </c>
      <c r="BK52">
        <v>324</v>
      </c>
      <c r="BL52" t="s">
        <v>1365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30</v>
      </c>
      <c r="CA52" t="str">
        <f t="shared" si="2"/>
        <v>圃人-8</v>
      </c>
      <c r="CB52" t="str">
        <f t="shared" si="3"/>
        <v>圃人-8：商人</v>
      </c>
      <c r="CC52" t="s">
        <v>1773</v>
      </c>
      <c r="CD52">
        <v>8</v>
      </c>
      <c r="CE52" t="s">
        <v>1784</v>
      </c>
      <c r="DD52" t="s">
        <v>1548</v>
      </c>
    </row>
    <row r="53" spans="58:108">
      <c r="BF53" t="s">
        <v>835</v>
      </c>
      <c r="BG53" t="s">
        <v>741</v>
      </c>
      <c r="BH53" t="s">
        <v>1767</v>
      </c>
      <c r="BI53" t="s">
        <v>1850</v>
      </c>
      <c r="BJ53">
        <v>10</v>
      </c>
      <c r="BK53">
        <v>324</v>
      </c>
      <c r="BL53" t="s">
        <v>1376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60</v>
      </c>
      <c r="CA53" t="str">
        <f t="shared" si="2"/>
        <v>圃人-9</v>
      </c>
      <c r="CB53" t="str">
        <f t="shared" si="3"/>
        <v>圃人-9：亭主</v>
      </c>
      <c r="CC53" t="s">
        <v>1773</v>
      </c>
      <c r="CD53">
        <v>9</v>
      </c>
      <c r="CE53" t="s">
        <v>1813</v>
      </c>
      <c r="DD53" t="s">
        <v>1551</v>
      </c>
    </row>
    <row r="54" spans="58:108">
      <c r="BF54" t="s">
        <v>880</v>
      </c>
      <c r="BG54" t="s">
        <v>741</v>
      </c>
      <c r="BH54" t="s">
        <v>2084</v>
      </c>
      <c r="BI54" t="s">
        <v>2090</v>
      </c>
      <c r="BJ54">
        <v>15</v>
      </c>
      <c r="BK54">
        <v>325</v>
      </c>
      <c r="BL54" t="s">
        <v>1847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50</v>
      </c>
      <c r="CA54" t="str">
        <f t="shared" si="2"/>
        <v>圃人-10</v>
      </c>
      <c r="CB54" t="str">
        <f t="shared" si="3"/>
        <v>圃人-10：庭師</v>
      </c>
      <c r="CC54" t="s">
        <v>1773</v>
      </c>
      <c r="CD54">
        <v>10</v>
      </c>
      <c r="CE54" t="s">
        <v>1851</v>
      </c>
      <c r="DD54" t="s">
        <v>1552</v>
      </c>
    </row>
    <row r="55" spans="58:108">
      <c r="BF55" t="s">
        <v>922</v>
      </c>
      <c r="BG55" t="s">
        <v>741</v>
      </c>
      <c r="BH55" t="s">
        <v>2084</v>
      </c>
      <c r="BI55" t="s">
        <v>2082</v>
      </c>
      <c r="BJ55">
        <v>10</v>
      </c>
      <c r="BK55">
        <v>325</v>
      </c>
      <c r="BL55" t="s">
        <v>929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1</v>
      </c>
      <c r="CA55" t="str">
        <f t="shared" si="2"/>
        <v>圃人-11</v>
      </c>
      <c r="CB55" t="str">
        <f t="shared" si="3"/>
        <v>圃人-11：騎士</v>
      </c>
      <c r="CC55" t="s">
        <v>1773</v>
      </c>
      <c r="CD55">
        <v>11</v>
      </c>
      <c r="CE55" t="s">
        <v>1793</v>
      </c>
      <c r="DD55" t="s">
        <v>1555</v>
      </c>
    </row>
    <row r="56" spans="58:108">
      <c r="BF56" t="s">
        <v>963</v>
      </c>
      <c r="BG56" t="s">
        <v>741</v>
      </c>
      <c r="BH56" t="s">
        <v>2084</v>
      </c>
      <c r="BI56" t="s">
        <v>2082</v>
      </c>
      <c r="BJ56">
        <v>10</v>
      </c>
      <c r="BK56">
        <v>326</v>
      </c>
      <c r="BL56" t="s">
        <v>1404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5</v>
      </c>
      <c r="CA56" t="str">
        <f t="shared" si="2"/>
        <v>圃人-12</v>
      </c>
      <c r="CB56" t="str">
        <f t="shared" si="3"/>
        <v>圃人-12：地主</v>
      </c>
      <c r="CC56" t="s">
        <v>1773</v>
      </c>
      <c r="CD56">
        <v>12</v>
      </c>
      <c r="CE56" t="s">
        <v>1853</v>
      </c>
      <c r="DD56" t="s">
        <v>1558</v>
      </c>
    </row>
    <row r="57" spans="58:108">
      <c r="BF57" t="s">
        <v>1002</v>
      </c>
      <c r="BG57" t="s">
        <v>741</v>
      </c>
      <c r="BH57" t="s">
        <v>2094</v>
      </c>
      <c r="BI57" t="s">
        <v>2095</v>
      </c>
      <c r="BJ57">
        <v>10</v>
      </c>
      <c r="BK57">
        <v>326</v>
      </c>
      <c r="BL57" t="s">
        <v>1415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1</v>
      </c>
      <c r="DD57" t="s">
        <v>1561</v>
      </c>
    </row>
    <row r="58" spans="58:108">
      <c r="BF58" t="s">
        <v>1038</v>
      </c>
      <c r="BG58" t="s">
        <v>741</v>
      </c>
      <c r="BH58" t="s">
        <v>2094</v>
      </c>
      <c r="BI58" t="s">
        <v>2082</v>
      </c>
      <c r="BJ58">
        <v>10</v>
      </c>
      <c r="BK58">
        <v>327</v>
      </c>
      <c r="BL58" t="s">
        <v>1427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1</v>
      </c>
      <c r="DD58" t="s">
        <v>1563</v>
      </c>
    </row>
    <row r="59" spans="58:108">
      <c r="BF59" t="s">
        <v>1072</v>
      </c>
      <c r="BG59" t="s">
        <v>741</v>
      </c>
      <c r="BH59" t="s">
        <v>1849</v>
      </c>
      <c r="BI59" t="s">
        <v>1731</v>
      </c>
      <c r="BJ59">
        <v>10</v>
      </c>
      <c r="BK59">
        <v>327</v>
      </c>
      <c r="BL59" t="s">
        <v>1848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5</v>
      </c>
      <c r="DD59" t="s">
        <v>1565</v>
      </c>
    </row>
    <row r="60" spans="58:108">
      <c r="BF60" t="s">
        <v>1102</v>
      </c>
      <c r="BG60" t="s">
        <v>741</v>
      </c>
      <c r="BH60" t="s">
        <v>1849</v>
      </c>
      <c r="BI60" t="s">
        <v>1731</v>
      </c>
      <c r="BJ60">
        <v>5</v>
      </c>
      <c r="BK60">
        <v>328</v>
      </c>
      <c r="BL60" t="s">
        <v>846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2</v>
      </c>
      <c r="DD60" t="s">
        <v>1568</v>
      </c>
    </row>
    <row r="61" spans="58:108">
      <c r="BF61" t="s">
        <v>1133</v>
      </c>
      <c r="BG61" t="s">
        <v>741</v>
      </c>
      <c r="BH61" t="s">
        <v>2081</v>
      </c>
      <c r="BI61" t="s">
        <v>20</v>
      </c>
      <c r="BJ61">
        <v>5</v>
      </c>
      <c r="BK61">
        <v>328</v>
      </c>
      <c r="BL61" t="s">
        <v>1449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10</v>
      </c>
      <c r="DD61" t="s">
        <v>1572</v>
      </c>
    </row>
    <row r="62" spans="58:108">
      <c r="BF62" t="s">
        <v>1161</v>
      </c>
      <c r="BG62" t="s">
        <v>741</v>
      </c>
      <c r="BH62" t="s">
        <v>2094</v>
      </c>
      <c r="BI62" t="s">
        <v>2092</v>
      </c>
      <c r="BJ62">
        <v>5</v>
      </c>
      <c r="BK62">
        <v>329</v>
      </c>
      <c r="BL62" t="s">
        <v>1457</v>
      </c>
      <c r="BM62">
        <v>-2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5</v>
      </c>
      <c r="DD62" t="s">
        <v>1575</v>
      </c>
    </row>
    <row r="63" spans="58:108">
      <c r="BF63" t="s">
        <v>1183</v>
      </c>
      <c r="BG63" t="s">
        <v>741</v>
      </c>
      <c r="BH63" t="s">
        <v>1782</v>
      </c>
      <c r="BI63" t="s">
        <v>20</v>
      </c>
      <c r="BJ63">
        <v>10</v>
      </c>
      <c r="BK63">
        <v>329</v>
      </c>
      <c r="BL63" t="s">
        <v>1852</v>
      </c>
      <c r="BM63">
        <v>-4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25</v>
      </c>
      <c r="DD63" t="s">
        <v>1579</v>
      </c>
    </row>
    <row r="64" spans="58:108">
      <c r="BF64" t="s">
        <v>1205</v>
      </c>
      <c r="BG64" t="s">
        <v>741</v>
      </c>
      <c r="BH64" t="s">
        <v>2079</v>
      </c>
      <c r="BI64" t="s">
        <v>2090</v>
      </c>
      <c r="BJ64">
        <v>15</v>
      </c>
      <c r="BK64">
        <v>330</v>
      </c>
      <c r="BL64" t="s">
        <v>1471</v>
      </c>
      <c r="BM64">
        <v>-2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1</v>
      </c>
      <c r="DD64" t="s">
        <v>1580</v>
      </c>
    </row>
    <row r="65" spans="58:108">
      <c r="BF65" t="s">
        <v>1224</v>
      </c>
      <c r="BG65" t="s">
        <v>741</v>
      </c>
      <c r="BH65" t="s">
        <v>2087</v>
      </c>
      <c r="BI65" t="s">
        <v>20</v>
      </c>
      <c r="BJ65">
        <v>5</v>
      </c>
      <c r="BK65">
        <v>331</v>
      </c>
      <c r="BL65" t="s">
        <v>2135</v>
      </c>
      <c r="BM65">
        <v>-2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10</v>
      </c>
      <c r="DD65" t="s">
        <v>1583</v>
      </c>
    </row>
    <row r="66" spans="58:108">
      <c r="BF66" t="s">
        <v>1244</v>
      </c>
      <c r="BG66" t="s">
        <v>741</v>
      </c>
      <c r="BH66" t="s">
        <v>2094</v>
      </c>
      <c r="BI66" t="s">
        <v>2080</v>
      </c>
      <c r="BJ66">
        <v>10</v>
      </c>
      <c r="BK66">
        <v>331</v>
      </c>
      <c r="BL66" t="s">
        <v>1476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18</v>
      </c>
      <c r="DD66" t="s">
        <v>1587</v>
      </c>
    </row>
    <row r="67" spans="58:108">
      <c r="BF67" t="s">
        <v>1263</v>
      </c>
      <c r="BG67" t="s">
        <v>741</v>
      </c>
      <c r="BH67" t="s">
        <v>2087</v>
      </c>
      <c r="BI67" t="s">
        <v>20</v>
      </c>
      <c r="BJ67">
        <v>15</v>
      </c>
      <c r="BK67">
        <v>332</v>
      </c>
      <c r="BL67" t="s">
        <v>1854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5</v>
      </c>
      <c r="DD67" t="s">
        <v>1591</v>
      </c>
    </row>
    <row r="68" spans="58:108">
      <c r="BF68" t="s">
        <v>1278</v>
      </c>
      <c r="BG68" t="s">
        <v>741</v>
      </c>
      <c r="BH68" t="s">
        <v>2084</v>
      </c>
      <c r="BI68" t="s">
        <v>2082</v>
      </c>
      <c r="BJ68">
        <v>10</v>
      </c>
      <c r="BK68">
        <v>332</v>
      </c>
      <c r="BL68" t="s">
        <v>1489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5</v>
      </c>
      <c r="DD68" t="s">
        <v>1594</v>
      </c>
    </row>
    <row r="69" spans="58:108">
      <c r="BF69" t="s">
        <v>1293</v>
      </c>
      <c r="BG69" t="s">
        <v>741</v>
      </c>
      <c r="BH69" t="s">
        <v>2079</v>
      </c>
      <c r="BI69" t="s">
        <v>2096</v>
      </c>
      <c r="BJ69">
        <v>15</v>
      </c>
      <c r="BK69">
        <v>333</v>
      </c>
      <c r="BL69" t="s">
        <v>2139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2</v>
      </c>
      <c r="DD69" t="s">
        <v>1596</v>
      </c>
    </row>
    <row r="70" spans="58:108">
      <c r="BF70" t="s">
        <v>1307</v>
      </c>
      <c r="BG70" t="s">
        <v>741</v>
      </c>
      <c r="BH70" t="s">
        <v>2084</v>
      </c>
      <c r="BI70" t="s">
        <v>20</v>
      </c>
      <c r="BJ70">
        <v>20</v>
      </c>
      <c r="BK70">
        <v>333</v>
      </c>
      <c r="BL70" t="s">
        <v>1501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30</v>
      </c>
      <c r="DD70" t="s">
        <v>1600</v>
      </c>
    </row>
    <row r="71" spans="58:108">
      <c r="BF71" t="s">
        <v>1321</v>
      </c>
      <c r="BG71" t="s">
        <v>741</v>
      </c>
      <c r="BH71" t="s">
        <v>2084</v>
      </c>
      <c r="BI71" t="s">
        <v>2086</v>
      </c>
      <c r="BJ71">
        <v>15</v>
      </c>
      <c r="BK71">
        <v>334</v>
      </c>
      <c r="BL71" t="s">
        <v>1507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10</v>
      </c>
      <c r="DD71" t="s">
        <v>1604</v>
      </c>
    </row>
    <row r="72" spans="58:108">
      <c r="BF72" t="s">
        <v>1333</v>
      </c>
      <c r="BG72" t="s">
        <v>741</v>
      </c>
      <c r="BH72" t="s">
        <v>1782</v>
      </c>
      <c r="BI72" t="s">
        <v>20</v>
      </c>
      <c r="BJ72">
        <v>10</v>
      </c>
      <c r="BK72">
        <v>334</v>
      </c>
      <c r="BL72" t="s">
        <v>1514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1</v>
      </c>
      <c r="DD72" t="s">
        <v>1607</v>
      </c>
    </row>
    <row r="73" spans="58:108">
      <c r="BF73" t="s">
        <v>1342</v>
      </c>
      <c r="BG73" t="s">
        <v>741</v>
      </c>
      <c r="BH73" t="s">
        <v>2083</v>
      </c>
      <c r="BI73" t="s">
        <v>20</v>
      </c>
      <c r="BJ73">
        <v>10</v>
      </c>
      <c r="BK73">
        <v>335</v>
      </c>
      <c r="BL73" t="s">
        <v>2140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2</v>
      </c>
      <c r="DD73" t="s">
        <v>1611</v>
      </c>
    </row>
    <row r="74" spans="58:108">
      <c r="BF74" t="s">
        <v>664</v>
      </c>
      <c r="BG74" t="s">
        <v>741</v>
      </c>
      <c r="BH74" t="s">
        <v>2084</v>
      </c>
      <c r="BI74" t="s">
        <v>20</v>
      </c>
      <c r="BJ74">
        <v>15</v>
      </c>
      <c r="BK74">
        <v>335</v>
      </c>
      <c r="BL74" t="s">
        <v>1855</v>
      </c>
      <c r="BM74">
        <v>-2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100</v>
      </c>
      <c r="DD74" t="s">
        <v>1613</v>
      </c>
    </row>
    <row r="75" spans="58:108">
      <c r="BF75" t="s">
        <v>1363</v>
      </c>
      <c r="BG75" t="s">
        <v>741</v>
      </c>
      <c r="BH75" t="s">
        <v>2087</v>
      </c>
      <c r="BI75" t="s">
        <v>2080</v>
      </c>
      <c r="BJ75">
        <v>20</v>
      </c>
      <c r="BK75">
        <v>335</v>
      </c>
      <c r="BL75" t="s">
        <v>2141</v>
      </c>
      <c r="BM75">
        <v>-2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300</v>
      </c>
      <c r="DD75" t="s">
        <v>1616</v>
      </c>
    </row>
    <row r="76" spans="58:108">
      <c r="BF76" t="s">
        <v>1374</v>
      </c>
      <c r="BG76" t="s">
        <v>741</v>
      </c>
      <c r="BH76" t="s">
        <v>2084</v>
      </c>
      <c r="BI76" t="s">
        <v>20</v>
      </c>
      <c r="BJ76">
        <v>10</v>
      </c>
      <c r="BK76">
        <v>336</v>
      </c>
      <c r="BL76" t="s">
        <v>2142</v>
      </c>
      <c r="BM76">
        <v>-2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60</v>
      </c>
      <c r="DD76" t="s">
        <v>1619</v>
      </c>
    </row>
    <row r="77" spans="58:108">
      <c r="BF77" t="s">
        <v>1386</v>
      </c>
      <c r="BG77" t="s">
        <v>741</v>
      </c>
      <c r="BH77" t="s">
        <v>2081</v>
      </c>
      <c r="BI77" t="s">
        <v>2089</v>
      </c>
      <c r="BJ77">
        <v>10</v>
      </c>
      <c r="BK77">
        <v>336</v>
      </c>
      <c r="BL77" t="s">
        <v>2143</v>
      </c>
      <c r="BM77">
        <v>-2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30</v>
      </c>
      <c r="DD77" t="s">
        <v>1622</v>
      </c>
    </row>
    <row r="78" spans="58:108">
      <c r="BF78" t="s">
        <v>1394</v>
      </c>
      <c r="BG78" t="s">
        <v>741</v>
      </c>
      <c r="BH78" t="s">
        <v>2084</v>
      </c>
      <c r="BI78" t="s">
        <v>2082</v>
      </c>
      <c r="BJ78">
        <v>10</v>
      </c>
      <c r="BK78">
        <v>337</v>
      </c>
      <c r="BL78" t="s">
        <v>2144</v>
      </c>
      <c r="BM78">
        <v>-2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50</v>
      </c>
      <c r="DD78" t="s">
        <v>1625</v>
      </c>
    </row>
    <row r="79" spans="58:108">
      <c r="BF79" t="s">
        <v>1403</v>
      </c>
      <c r="BG79" t="s">
        <v>741</v>
      </c>
      <c r="BH79" t="s">
        <v>2079</v>
      </c>
      <c r="BI79" t="s">
        <v>20</v>
      </c>
      <c r="BJ79">
        <v>15</v>
      </c>
      <c r="BK79">
        <v>337</v>
      </c>
      <c r="BL79" t="s">
        <v>2145</v>
      </c>
      <c r="BM79">
        <v>-2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350</v>
      </c>
      <c r="DD79" t="s">
        <v>1626</v>
      </c>
    </row>
    <row r="80" spans="58:108">
      <c r="BF80" t="s">
        <v>1414</v>
      </c>
      <c r="BG80" t="s">
        <v>741</v>
      </c>
      <c r="BH80" t="s">
        <v>2084</v>
      </c>
      <c r="BI80" t="s">
        <v>2097</v>
      </c>
      <c r="BJ80">
        <v>10</v>
      </c>
      <c r="BK80">
        <v>338</v>
      </c>
      <c r="BL80" t="s">
        <v>2146</v>
      </c>
      <c r="BM80">
        <v>-2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DD80" t="s">
        <v>1628</v>
      </c>
    </row>
    <row r="81" spans="58:108">
      <c r="BF81" t="s">
        <v>1426</v>
      </c>
      <c r="BG81" t="s">
        <v>741</v>
      </c>
      <c r="BH81" t="s">
        <v>2083</v>
      </c>
      <c r="BI81" t="s">
        <v>2082</v>
      </c>
      <c r="BJ81">
        <v>15</v>
      </c>
      <c r="BK81">
        <v>338</v>
      </c>
      <c r="BL81" t="s">
        <v>1535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10</v>
      </c>
      <c r="DD81" t="s">
        <v>1630</v>
      </c>
    </row>
    <row r="82" spans="58:108">
      <c r="BF82" t="s">
        <v>795</v>
      </c>
      <c r="BG82" t="s">
        <v>742</v>
      </c>
      <c r="BH82" t="s">
        <v>2084</v>
      </c>
      <c r="BI82" t="s">
        <v>2080</v>
      </c>
      <c r="BJ82">
        <v>10</v>
      </c>
      <c r="BK82">
        <v>339</v>
      </c>
      <c r="BL82" t="s">
        <v>1540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10</v>
      </c>
      <c r="DD82" t="s">
        <v>1632</v>
      </c>
    </row>
    <row r="83" spans="58:108">
      <c r="BF83" t="s">
        <v>836</v>
      </c>
      <c r="BG83" t="s">
        <v>742</v>
      </c>
      <c r="BH83" t="s">
        <v>2084</v>
      </c>
      <c r="BI83" t="s">
        <v>2082</v>
      </c>
      <c r="BJ83">
        <v>10</v>
      </c>
      <c r="BK83">
        <v>339</v>
      </c>
      <c r="BL83" t="s">
        <v>2147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7</v>
      </c>
    </row>
    <row r="84" spans="58:108">
      <c r="BF84" t="s">
        <v>881</v>
      </c>
      <c r="BG84" t="s">
        <v>742</v>
      </c>
      <c r="BH84" t="s">
        <v>1730</v>
      </c>
      <c r="BI84" t="s">
        <v>1741</v>
      </c>
      <c r="BJ84">
        <v>10</v>
      </c>
      <c r="BK84">
        <v>340</v>
      </c>
      <c r="BL84" t="s">
        <v>1547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15</v>
      </c>
    </row>
    <row r="85" spans="58:108">
      <c r="BF85" t="s">
        <v>923</v>
      </c>
      <c r="BG85" t="s">
        <v>742</v>
      </c>
      <c r="BH85" t="s">
        <v>2084</v>
      </c>
      <c r="BI85" t="s">
        <v>2082</v>
      </c>
      <c r="BJ85">
        <v>10</v>
      </c>
      <c r="BK85">
        <v>340</v>
      </c>
      <c r="BL85" t="s">
        <v>1550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15</v>
      </c>
    </row>
    <row r="86" spans="58:108">
      <c r="BF86" t="s">
        <v>964</v>
      </c>
      <c r="BG86" t="s">
        <v>742</v>
      </c>
      <c r="BH86" t="s">
        <v>1833</v>
      </c>
      <c r="BI86" t="s">
        <v>20</v>
      </c>
      <c r="BJ86">
        <v>10</v>
      </c>
      <c r="BK86">
        <v>341</v>
      </c>
      <c r="BL86" t="s">
        <v>140</v>
      </c>
      <c r="BM86">
        <v>-2</v>
      </c>
      <c r="BN86">
        <v>1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30</v>
      </c>
    </row>
    <row r="87" spans="58:108">
      <c r="BF87" t="s">
        <v>1003</v>
      </c>
      <c r="BG87" t="s">
        <v>742</v>
      </c>
      <c r="BH87" t="s">
        <v>2084</v>
      </c>
      <c r="BI87" t="s">
        <v>2090</v>
      </c>
      <c r="BJ87">
        <v>15</v>
      </c>
      <c r="BK87">
        <v>341</v>
      </c>
      <c r="BL87" t="s">
        <v>1554</v>
      </c>
      <c r="BM87">
        <v>-4</v>
      </c>
      <c r="BN87">
        <v>2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120</v>
      </c>
    </row>
    <row r="88" spans="58:108">
      <c r="BF88" t="s">
        <v>1039</v>
      </c>
      <c r="BG88" t="s">
        <v>742</v>
      </c>
      <c r="BH88" t="s">
        <v>1782</v>
      </c>
      <c r="BI88" t="s">
        <v>1731</v>
      </c>
      <c r="BJ88">
        <v>10</v>
      </c>
      <c r="BK88">
        <v>342</v>
      </c>
      <c r="BL88" t="s">
        <v>1557</v>
      </c>
      <c r="BM88">
        <v>-2</v>
      </c>
      <c r="BN88">
        <v>0</v>
      </c>
      <c r="BO88">
        <v>2</v>
      </c>
      <c r="BP88">
        <v>0</v>
      </c>
      <c r="BQ88">
        <v>0</v>
      </c>
      <c r="BR88">
        <v>0</v>
      </c>
      <c r="BS88">
        <v>0</v>
      </c>
      <c r="BT88">
        <v>10</v>
      </c>
    </row>
    <row r="89" spans="58:108">
      <c r="BF89" t="s">
        <v>1073</v>
      </c>
      <c r="BG89" t="s">
        <v>742</v>
      </c>
      <c r="BH89" t="s">
        <v>1782</v>
      </c>
      <c r="BI89" t="s">
        <v>1731</v>
      </c>
      <c r="BJ89">
        <v>10</v>
      </c>
      <c r="BK89">
        <v>342</v>
      </c>
      <c r="BL89" t="s">
        <v>1560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100</v>
      </c>
    </row>
    <row r="90" spans="58:108">
      <c r="BF90" t="s">
        <v>1103</v>
      </c>
      <c r="BG90" t="s">
        <v>742</v>
      </c>
      <c r="BH90" t="s">
        <v>1730</v>
      </c>
      <c r="BI90" t="s">
        <v>1731</v>
      </c>
      <c r="BJ90">
        <v>15</v>
      </c>
      <c r="BK90">
        <v>343</v>
      </c>
      <c r="BL90" t="s">
        <v>1856</v>
      </c>
      <c r="BM90">
        <v>-2</v>
      </c>
      <c r="BN90">
        <v>0</v>
      </c>
      <c r="BO90">
        <v>1</v>
      </c>
      <c r="BP90">
        <v>0</v>
      </c>
      <c r="BQ90">
        <v>0</v>
      </c>
      <c r="BR90">
        <v>0</v>
      </c>
      <c r="BS90">
        <v>0</v>
      </c>
      <c r="BT90">
        <v>10</v>
      </c>
    </row>
    <row r="91" spans="58:108">
      <c r="BF91" t="s">
        <v>1134</v>
      </c>
      <c r="BG91" t="s">
        <v>742</v>
      </c>
      <c r="BH91" t="s">
        <v>2084</v>
      </c>
      <c r="BI91" t="s">
        <v>2086</v>
      </c>
      <c r="BJ91" s="18" t="s">
        <v>2078</v>
      </c>
      <c r="BK91">
        <v>343</v>
      </c>
      <c r="BL91" t="s">
        <v>1564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1</v>
      </c>
    </row>
    <row r="92" spans="58:108">
      <c r="BF92" t="s">
        <v>1162</v>
      </c>
      <c r="BG92" t="s">
        <v>742</v>
      </c>
      <c r="BH92" t="s">
        <v>2084</v>
      </c>
      <c r="BI92" t="s">
        <v>2098</v>
      </c>
      <c r="BJ92">
        <v>10</v>
      </c>
      <c r="BK92">
        <v>344</v>
      </c>
      <c r="BL92" t="s">
        <v>1567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400</v>
      </c>
    </row>
    <row r="93" spans="58:108">
      <c r="BF93" t="s">
        <v>2107</v>
      </c>
      <c r="BG93" t="s">
        <v>742</v>
      </c>
      <c r="BH93" t="s">
        <v>1833</v>
      </c>
      <c r="BI93" t="s">
        <v>1787</v>
      </c>
      <c r="BJ93">
        <v>10</v>
      </c>
      <c r="BK93">
        <v>345</v>
      </c>
      <c r="BL93" t="s">
        <v>1571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80</v>
      </c>
    </row>
    <row r="94" spans="58:108">
      <c r="BF94" t="s">
        <v>2108</v>
      </c>
      <c r="BG94" t="s">
        <v>742</v>
      </c>
      <c r="BH94" t="s">
        <v>1833</v>
      </c>
      <c r="BI94" t="s">
        <v>1850</v>
      </c>
      <c r="BJ94">
        <v>10</v>
      </c>
      <c r="BK94">
        <v>345</v>
      </c>
      <c r="BL94" t="s">
        <v>1857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10</v>
      </c>
    </row>
    <row r="95" spans="58:108">
      <c r="BF95" t="s">
        <v>2109</v>
      </c>
      <c r="BG95" t="s">
        <v>742</v>
      </c>
      <c r="BH95" t="s">
        <v>1833</v>
      </c>
      <c r="BI95" t="s">
        <v>2111</v>
      </c>
      <c r="BJ95">
        <v>10</v>
      </c>
      <c r="BK95">
        <v>345</v>
      </c>
      <c r="BL95" t="s">
        <v>1578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100</v>
      </c>
    </row>
    <row r="96" spans="58:108">
      <c r="BF96" t="s">
        <v>2110</v>
      </c>
      <c r="BG96" t="s">
        <v>742</v>
      </c>
      <c r="BH96" t="s">
        <v>1833</v>
      </c>
      <c r="BI96" t="s">
        <v>2112</v>
      </c>
      <c r="BJ96">
        <v>10</v>
      </c>
      <c r="BK96">
        <v>345</v>
      </c>
      <c r="BL96" t="s">
        <v>802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2</v>
      </c>
    </row>
    <row r="97" spans="58:72">
      <c r="BF97" t="s">
        <v>1206</v>
      </c>
      <c r="BG97" t="s">
        <v>742</v>
      </c>
      <c r="BH97" t="s">
        <v>2083</v>
      </c>
      <c r="BI97" t="s">
        <v>2082</v>
      </c>
      <c r="BJ97">
        <v>15</v>
      </c>
      <c r="BK97">
        <v>346</v>
      </c>
      <c r="BL97" t="s">
        <v>2148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1</v>
      </c>
    </row>
    <row r="98" spans="58:72">
      <c r="BF98" t="s">
        <v>1225</v>
      </c>
      <c r="BG98" t="s">
        <v>742</v>
      </c>
      <c r="BH98" t="s">
        <v>2083</v>
      </c>
      <c r="BI98" t="s">
        <v>2082</v>
      </c>
      <c r="BJ98">
        <v>10</v>
      </c>
      <c r="BK98">
        <v>346</v>
      </c>
      <c r="BL98" t="s">
        <v>2149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2</v>
      </c>
    </row>
    <row r="99" spans="58:72">
      <c r="BF99" t="s">
        <v>1245</v>
      </c>
      <c r="BG99" t="s">
        <v>742</v>
      </c>
      <c r="BH99" t="s">
        <v>2084</v>
      </c>
      <c r="BI99" t="s">
        <v>2086</v>
      </c>
      <c r="BJ99">
        <v>10</v>
      </c>
      <c r="BK99">
        <v>347</v>
      </c>
      <c r="BL99" t="s">
        <v>2150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2</v>
      </c>
    </row>
    <row r="100" spans="58:72">
      <c r="BF100" t="s">
        <v>1264</v>
      </c>
      <c r="BG100" t="s">
        <v>742</v>
      </c>
      <c r="BH100" t="s">
        <v>1849</v>
      </c>
      <c r="BI100" t="s">
        <v>1731</v>
      </c>
      <c r="BJ100">
        <v>10</v>
      </c>
      <c r="BK100">
        <v>347</v>
      </c>
      <c r="BL100" t="s">
        <v>2151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3</v>
      </c>
    </row>
    <row r="101" spans="58:72">
      <c r="BF101" t="s">
        <v>1279</v>
      </c>
      <c r="BG101" t="s">
        <v>742</v>
      </c>
      <c r="BH101" t="s">
        <v>1849</v>
      </c>
      <c r="BI101" t="s">
        <v>1731</v>
      </c>
      <c r="BJ101">
        <v>5</v>
      </c>
      <c r="BK101">
        <v>347</v>
      </c>
      <c r="BL101" t="s">
        <v>2152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5</v>
      </c>
    </row>
    <row r="102" spans="58:72">
      <c r="BF102" t="s">
        <v>1294</v>
      </c>
      <c r="BG102" t="s">
        <v>742</v>
      </c>
      <c r="BH102" t="s">
        <v>1782</v>
      </c>
      <c r="BI102" t="s">
        <v>1731</v>
      </c>
      <c r="BJ102">
        <v>10</v>
      </c>
      <c r="BK102">
        <v>348</v>
      </c>
      <c r="BL102" t="s">
        <v>2153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3</v>
      </c>
    </row>
    <row r="103" spans="58:72">
      <c r="BF103" t="s">
        <v>1308</v>
      </c>
      <c r="BG103" t="s">
        <v>742</v>
      </c>
      <c r="BH103" t="s">
        <v>2081</v>
      </c>
      <c r="BI103" t="s">
        <v>2099</v>
      </c>
      <c r="BJ103">
        <v>5</v>
      </c>
      <c r="BK103">
        <v>348</v>
      </c>
      <c r="BL103" t="s">
        <v>1858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10</v>
      </c>
    </row>
    <row r="104" spans="58:72">
      <c r="BF104" t="s">
        <v>1322</v>
      </c>
      <c r="BG104" t="s">
        <v>742</v>
      </c>
      <c r="BH104" t="s">
        <v>2084</v>
      </c>
      <c r="BI104" t="s">
        <v>2086</v>
      </c>
      <c r="BJ104">
        <v>20</v>
      </c>
      <c r="BK104">
        <v>348</v>
      </c>
      <c r="BL104" t="s">
        <v>1586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5</v>
      </c>
    </row>
    <row r="105" spans="58:72">
      <c r="BF105" t="s">
        <v>796</v>
      </c>
      <c r="BG105" t="s">
        <v>1866</v>
      </c>
      <c r="BH105" t="s">
        <v>1849</v>
      </c>
      <c r="BI105" t="s">
        <v>2071</v>
      </c>
      <c r="BJ105">
        <v>10</v>
      </c>
      <c r="BK105">
        <v>349</v>
      </c>
      <c r="BL105" t="s">
        <v>1590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3</v>
      </c>
    </row>
    <row r="106" spans="58:72">
      <c r="BF106" t="s">
        <v>837</v>
      </c>
      <c r="BG106" t="s">
        <v>1866</v>
      </c>
      <c r="BH106" t="s">
        <v>2084</v>
      </c>
      <c r="BI106" t="s">
        <v>2080</v>
      </c>
      <c r="BJ106">
        <v>5</v>
      </c>
      <c r="BK106">
        <v>350</v>
      </c>
      <c r="BL106" t="s">
        <v>2154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10</v>
      </c>
    </row>
    <row r="107" spans="58:72">
      <c r="BF107" t="s">
        <v>882</v>
      </c>
      <c r="BG107" t="s">
        <v>1866</v>
      </c>
      <c r="BH107" t="s">
        <v>2084</v>
      </c>
      <c r="BI107" t="s">
        <v>2092</v>
      </c>
      <c r="BJ107">
        <v>15</v>
      </c>
      <c r="BK107">
        <v>350</v>
      </c>
      <c r="BL107" t="s">
        <v>1595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10</v>
      </c>
    </row>
    <row r="108" spans="58:72">
      <c r="BF108" t="s">
        <v>924</v>
      </c>
      <c r="BG108" t="s">
        <v>1866</v>
      </c>
      <c r="BH108" t="s">
        <v>2083</v>
      </c>
      <c r="BI108" t="s">
        <v>2099</v>
      </c>
      <c r="BJ108">
        <v>5</v>
      </c>
      <c r="BK108">
        <v>351</v>
      </c>
      <c r="BL108" t="s">
        <v>1599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10</v>
      </c>
    </row>
    <row r="109" spans="58:72">
      <c r="BF109" t="s">
        <v>965</v>
      </c>
      <c r="BG109" t="s">
        <v>1866</v>
      </c>
      <c r="BH109" t="s">
        <v>1782</v>
      </c>
      <c r="BI109" t="s">
        <v>1768</v>
      </c>
      <c r="BJ109">
        <v>10</v>
      </c>
      <c r="BK109">
        <v>351</v>
      </c>
      <c r="BL109" t="s">
        <v>1603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10</v>
      </c>
    </row>
    <row r="110" spans="58:72">
      <c r="BF110" t="s">
        <v>1004</v>
      </c>
      <c r="BG110" t="s">
        <v>1866</v>
      </c>
      <c r="BH110" t="s">
        <v>2084</v>
      </c>
      <c r="BI110" t="s">
        <v>2100</v>
      </c>
      <c r="BJ110">
        <v>10</v>
      </c>
      <c r="BK110">
        <v>352</v>
      </c>
      <c r="BL110" t="s">
        <v>1859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50</v>
      </c>
    </row>
    <row r="111" spans="58:72">
      <c r="BF111" t="s">
        <v>1040</v>
      </c>
      <c r="BG111" t="s">
        <v>1866</v>
      </c>
      <c r="BH111" t="s">
        <v>2083</v>
      </c>
      <c r="BI111" t="s">
        <v>2091</v>
      </c>
      <c r="BJ111">
        <v>10</v>
      </c>
      <c r="BK111">
        <v>353</v>
      </c>
      <c r="BL111" t="s">
        <v>1860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50</v>
      </c>
    </row>
    <row r="112" spans="58:72">
      <c r="BF112" t="s">
        <v>1074</v>
      </c>
      <c r="BG112" t="s">
        <v>1866</v>
      </c>
      <c r="BH112" t="s">
        <v>1767</v>
      </c>
      <c r="BI112" t="s">
        <v>1872</v>
      </c>
      <c r="BJ112">
        <v>10</v>
      </c>
      <c r="BK112">
        <v>354</v>
      </c>
      <c r="BL112" t="s">
        <v>1861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50</v>
      </c>
    </row>
    <row r="113" spans="58:72">
      <c r="BF113" t="s">
        <v>1104</v>
      </c>
      <c r="BG113" t="s">
        <v>1866</v>
      </c>
      <c r="BH113" t="s">
        <v>2087</v>
      </c>
      <c r="BI113" t="s">
        <v>2085</v>
      </c>
      <c r="BJ113">
        <v>10</v>
      </c>
      <c r="BK113">
        <v>354</v>
      </c>
      <c r="BL113" t="s">
        <v>1862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50</v>
      </c>
    </row>
    <row r="114" spans="58:72">
      <c r="BF114" t="s">
        <v>1135</v>
      </c>
      <c r="BG114" t="s">
        <v>1866</v>
      </c>
      <c r="BH114" t="s">
        <v>2087</v>
      </c>
      <c r="BI114" t="s">
        <v>2101</v>
      </c>
      <c r="BJ114">
        <v>10</v>
      </c>
      <c r="BK114">
        <v>355</v>
      </c>
      <c r="BL114" t="s">
        <v>1863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50</v>
      </c>
    </row>
    <row r="115" spans="58:72">
      <c r="BF115" t="s">
        <v>1163</v>
      </c>
      <c r="BG115" t="s">
        <v>1866</v>
      </c>
      <c r="BH115" t="s">
        <v>2079</v>
      </c>
      <c r="BI115" t="s">
        <v>2102</v>
      </c>
      <c r="BJ115">
        <v>10</v>
      </c>
      <c r="BK115">
        <v>355</v>
      </c>
      <c r="BL115" t="s">
        <v>1864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50</v>
      </c>
    </row>
    <row r="116" spans="58:72">
      <c r="BF116" t="s">
        <v>1184</v>
      </c>
      <c r="BG116" t="s">
        <v>1866</v>
      </c>
      <c r="BH116" t="s">
        <v>2079</v>
      </c>
      <c r="BI116" t="s">
        <v>2103</v>
      </c>
      <c r="BJ116">
        <v>15</v>
      </c>
      <c r="BK116">
        <v>356</v>
      </c>
      <c r="BL116" t="s">
        <v>1865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50</v>
      </c>
    </row>
    <row r="117" spans="58:72">
      <c r="BF117" t="s">
        <v>1207</v>
      </c>
      <c r="BG117" t="s">
        <v>1866</v>
      </c>
      <c r="BH117" t="s">
        <v>2083</v>
      </c>
      <c r="BI117" t="s">
        <v>2100</v>
      </c>
      <c r="BJ117">
        <v>10</v>
      </c>
      <c r="BK117">
        <v>357</v>
      </c>
      <c r="BL117" t="s">
        <v>1610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25</v>
      </c>
    </row>
    <row r="118" spans="58:72">
      <c r="BF118" t="s">
        <v>1226</v>
      </c>
      <c r="BG118" t="s">
        <v>1866</v>
      </c>
      <c r="BH118" t="s">
        <v>1767</v>
      </c>
      <c r="BI118" t="s">
        <v>1850</v>
      </c>
      <c r="BJ118">
        <v>5</v>
      </c>
      <c r="BK118">
        <v>357</v>
      </c>
      <c r="BL118" t="s">
        <v>1612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20</v>
      </c>
    </row>
    <row r="119" spans="58:72">
      <c r="BF119" t="s">
        <v>1246</v>
      </c>
      <c r="BG119" t="s">
        <v>1866</v>
      </c>
      <c r="BH119" t="s">
        <v>2079</v>
      </c>
      <c r="BI119" t="s">
        <v>2088</v>
      </c>
      <c r="BJ119">
        <v>5</v>
      </c>
      <c r="BK119">
        <v>358</v>
      </c>
      <c r="BL119" t="s">
        <v>1615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50</v>
      </c>
    </row>
    <row r="120" spans="58:72">
      <c r="BF120" t="s">
        <v>1265</v>
      </c>
      <c r="BG120" t="s">
        <v>1866</v>
      </c>
      <c r="BH120" t="s">
        <v>1767</v>
      </c>
      <c r="BI120" t="s">
        <v>1875</v>
      </c>
      <c r="BJ120">
        <v>10</v>
      </c>
      <c r="BK120">
        <v>358</v>
      </c>
      <c r="BL120" t="s">
        <v>1618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50</v>
      </c>
    </row>
    <row r="121" spans="58:72">
      <c r="BF121" t="s">
        <v>1280</v>
      </c>
      <c r="BG121" t="s">
        <v>1866</v>
      </c>
      <c r="BH121" t="s">
        <v>2083</v>
      </c>
      <c r="BI121" t="s">
        <v>2104</v>
      </c>
      <c r="BJ121">
        <v>15</v>
      </c>
      <c r="BK121">
        <v>359</v>
      </c>
      <c r="BL121" t="s">
        <v>1621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250</v>
      </c>
    </row>
    <row r="122" spans="58:72">
      <c r="BF122" t="s">
        <v>1295</v>
      </c>
      <c r="BG122" t="s">
        <v>1866</v>
      </c>
      <c r="BH122" t="s">
        <v>2083</v>
      </c>
      <c r="BI122" t="s">
        <v>2105</v>
      </c>
      <c r="BJ122">
        <v>10</v>
      </c>
      <c r="BK122">
        <v>359</v>
      </c>
      <c r="BL122" t="s">
        <v>1624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1500</v>
      </c>
    </row>
    <row r="123" spans="58:72">
      <c r="BF123" t="s">
        <v>1309</v>
      </c>
      <c r="BG123" t="s">
        <v>1866</v>
      </c>
      <c r="BH123" t="s">
        <v>1833</v>
      </c>
      <c r="BI123" t="s">
        <v>1876</v>
      </c>
      <c r="BJ123">
        <v>20</v>
      </c>
      <c r="BK123">
        <v>359</v>
      </c>
      <c r="BL123" t="s">
        <v>1867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</row>
    <row r="124" spans="58:72">
      <c r="BF124" t="s">
        <v>1323</v>
      </c>
      <c r="BG124" t="s">
        <v>1866</v>
      </c>
      <c r="BH124" t="s">
        <v>2084</v>
      </c>
      <c r="BI124" t="s">
        <v>2088</v>
      </c>
      <c r="BJ124">
        <v>10</v>
      </c>
      <c r="BK124">
        <v>360</v>
      </c>
      <c r="BL124" t="s">
        <v>1868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</row>
    <row r="125" spans="58:72">
      <c r="BF125" t="s">
        <v>1334</v>
      </c>
      <c r="BG125" t="s">
        <v>1866</v>
      </c>
      <c r="BH125" t="s">
        <v>1833</v>
      </c>
      <c r="BI125" t="s">
        <v>1787</v>
      </c>
      <c r="BJ125">
        <v>5</v>
      </c>
      <c r="BK125">
        <v>360</v>
      </c>
      <c r="BL125" t="s">
        <v>1869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3</v>
      </c>
    </row>
    <row r="126" spans="58:72">
      <c r="BF126" t="s">
        <v>1343</v>
      </c>
      <c r="BG126" t="s">
        <v>1866</v>
      </c>
      <c r="BH126" t="s">
        <v>2083</v>
      </c>
      <c r="BI126" t="s">
        <v>2106</v>
      </c>
      <c r="BJ126">
        <v>10</v>
      </c>
      <c r="BK126">
        <v>361</v>
      </c>
      <c r="BL126" t="s">
        <v>1870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400</v>
      </c>
    </row>
    <row r="127" spans="58:72">
      <c r="BF127" t="s">
        <v>67</v>
      </c>
      <c r="BG127" t="s">
        <v>1866</v>
      </c>
      <c r="BH127" t="s">
        <v>1782</v>
      </c>
      <c r="BI127" t="s">
        <v>1877</v>
      </c>
      <c r="BJ127">
        <v>10</v>
      </c>
      <c r="BK127">
        <v>362</v>
      </c>
      <c r="BL127" t="s">
        <v>1871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120</v>
      </c>
    </row>
    <row r="128" spans="58:72">
      <c r="BF128" t="s">
        <v>1879</v>
      </c>
      <c r="BG128" t="s">
        <v>1866</v>
      </c>
      <c r="BH128" t="s">
        <v>1833</v>
      </c>
      <c r="BI128" t="s">
        <v>1768</v>
      </c>
      <c r="BJ128">
        <v>20</v>
      </c>
      <c r="BK128">
        <v>362</v>
      </c>
      <c r="BL128" t="s">
        <v>138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120</v>
      </c>
    </row>
    <row r="129" spans="58:72">
      <c r="BF129" t="s">
        <v>1375</v>
      </c>
      <c r="BG129" t="s">
        <v>1866</v>
      </c>
      <c r="BH129" t="s">
        <v>2084</v>
      </c>
      <c r="BI129" t="s">
        <v>2091</v>
      </c>
      <c r="BJ129">
        <v>10</v>
      </c>
      <c r="BK129">
        <v>363</v>
      </c>
      <c r="BL129" t="s">
        <v>1873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120</v>
      </c>
    </row>
    <row r="130" spans="58:72">
      <c r="BF130" t="s">
        <v>1387</v>
      </c>
      <c r="BG130" t="s">
        <v>1866</v>
      </c>
      <c r="BH130" t="s">
        <v>2083</v>
      </c>
      <c r="BI130" t="s">
        <v>2085</v>
      </c>
      <c r="BJ130">
        <v>10</v>
      </c>
      <c r="BK130">
        <v>363</v>
      </c>
      <c r="BL130" t="s">
        <v>143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120</v>
      </c>
    </row>
    <row r="131" spans="58:72">
      <c r="BF131" t="s">
        <v>20</v>
      </c>
      <c r="BG131" t="s">
        <v>2063</v>
      </c>
      <c r="BH131" t="s">
        <v>2063</v>
      </c>
      <c r="BI131" t="s">
        <v>2063</v>
      </c>
      <c r="BJ131" t="s">
        <v>2063</v>
      </c>
      <c r="BK131" t="s">
        <v>2063</v>
      </c>
      <c r="BL131" t="s">
        <v>1874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120</v>
      </c>
    </row>
    <row r="132" spans="58:72">
      <c r="BL132" t="s">
        <v>136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120</v>
      </c>
    </row>
    <row r="133" spans="58:72">
      <c r="BL133" t="s">
        <v>2155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120</v>
      </c>
    </row>
    <row r="134" spans="58:72">
      <c r="BL134" t="s">
        <v>817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5</v>
      </c>
    </row>
    <row r="135" spans="58:72">
      <c r="BL135" t="s">
        <v>862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10</v>
      </c>
    </row>
    <row r="136" spans="58:72">
      <c r="BL136" t="s">
        <v>903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12</v>
      </c>
    </row>
    <row r="137" spans="58:72">
      <c r="BL137" t="s">
        <v>945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10</v>
      </c>
    </row>
    <row r="138" spans="58:72">
      <c r="BL138" t="s">
        <v>987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15</v>
      </c>
    </row>
    <row r="139" spans="58:72">
      <c r="BL139" t="s">
        <v>1022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20</v>
      </c>
    </row>
    <row r="140" spans="58:72">
      <c r="BL140" t="s">
        <v>1058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20</v>
      </c>
    </row>
    <row r="141" spans="58:72">
      <c r="BL141" t="s">
        <v>1092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20</v>
      </c>
    </row>
    <row r="142" spans="58:72">
      <c r="BL142" t="s">
        <v>1124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30</v>
      </c>
    </row>
    <row r="143" spans="58:72">
      <c r="BL143" t="s">
        <v>1154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25</v>
      </c>
    </row>
    <row r="144" spans="58:72">
      <c r="BL144" t="s">
        <v>1878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50</v>
      </c>
    </row>
    <row r="145" spans="64:72">
      <c r="BL145" t="s">
        <v>1880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30</v>
      </c>
    </row>
    <row r="146" spans="64:72">
      <c r="BL146" t="s">
        <v>1881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45</v>
      </c>
    </row>
    <row r="147" spans="64:72">
      <c r="BL147" t="s">
        <v>1882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65</v>
      </c>
    </row>
    <row r="148" spans="64:72">
      <c r="BL148" t="s">
        <v>1883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45</v>
      </c>
    </row>
    <row r="149" spans="64:72">
      <c r="BL149" t="s">
        <v>1884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100</v>
      </c>
    </row>
    <row r="150" spans="64:72">
      <c r="BL150" t="s">
        <v>1885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85</v>
      </c>
    </row>
    <row r="151" spans="64:72">
      <c r="BL151" t="s">
        <v>819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5</v>
      </c>
    </row>
    <row r="152" spans="64:72">
      <c r="BL152" t="s">
        <v>863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6</v>
      </c>
    </row>
    <row r="153" spans="64:72">
      <c r="BL153" t="s">
        <v>905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20</v>
      </c>
    </row>
    <row r="154" spans="64:72">
      <c r="BL154" t="s">
        <v>947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20</v>
      </c>
    </row>
    <row r="155" spans="64:72">
      <c r="BL155" t="s">
        <v>989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30</v>
      </c>
    </row>
    <row r="156" spans="64:72">
      <c r="BL156" t="s">
        <v>1024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25</v>
      </c>
    </row>
    <row r="157" spans="64:72">
      <c r="BL157" t="s">
        <v>1060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20</v>
      </c>
    </row>
    <row r="158" spans="64:72">
      <c r="BL158" t="s">
        <v>1093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40</v>
      </c>
    </row>
    <row r="159" spans="64:72">
      <c r="BL159" t="s">
        <v>1125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90</v>
      </c>
    </row>
    <row r="160" spans="64:72">
      <c r="BL160" t="s">
        <v>820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40</v>
      </c>
    </row>
    <row r="161" spans="64:72">
      <c r="BL161" t="s">
        <v>864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50</v>
      </c>
    </row>
    <row r="162" spans="64:72">
      <c r="BL162" t="s">
        <v>906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40</v>
      </c>
    </row>
    <row r="163" spans="64:72">
      <c r="BL163" t="s">
        <v>948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115</v>
      </c>
    </row>
    <row r="164" spans="64:72">
      <c r="BL164" t="s">
        <v>990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125</v>
      </c>
    </row>
    <row r="165" spans="64:72">
      <c r="BL165" t="s">
        <v>1025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110</v>
      </c>
    </row>
    <row r="166" spans="64:72">
      <c r="BL166" t="s">
        <v>1061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630</v>
      </c>
    </row>
    <row r="167" spans="64:72">
      <c r="BL167" t="s">
        <v>821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</row>
    <row r="168" spans="64:72">
      <c r="BL168" t="s">
        <v>865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3</v>
      </c>
    </row>
    <row r="169" spans="64:72">
      <c r="BL169" t="s">
        <v>907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15</v>
      </c>
    </row>
    <row r="170" spans="64:72">
      <c r="BL170" t="s">
        <v>949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15</v>
      </c>
    </row>
    <row r="171" spans="64:72">
      <c r="BL171" t="s">
        <v>991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1</v>
      </c>
    </row>
    <row r="172" spans="64:72">
      <c r="BL172" t="s">
        <v>1026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20</v>
      </c>
    </row>
    <row r="173" spans="64:72">
      <c r="BL173" t="s">
        <v>1062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25</v>
      </c>
    </row>
    <row r="174" spans="64:72">
      <c r="BL174" t="s">
        <v>1095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40</v>
      </c>
    </row>
    <row r="175" spans="64:72">
      <c r="BL175" t="s">
        <v>1126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30</v>
      </c>
    </row>
    <row r="176" spans="64:72">
      <c r="BL176" t="s">
        <v>1155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70</v>
      </c>
    </row>
    <row r="177" spans="64:72">
      <c r="BL177" t="s">
        <v>822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5</v>
      </c>
    </row>
    <row r="178" spans="64:72">
      <c r="BL178" t="s">
        <v>866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15</v>
      </c>
    </row>
    <row r="179" spans="64:72">
      <c r="BL179" t="s">
        <v>908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15</v>
      </c>
    </row>
    <row r="180" spans="64:72">
      <c r="BL180" t="s">
        <v>950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30</v>
      </c>
    </row>
    <row r="181" spans="64:72">
      <c r="BL181" t="s">
        <v>1886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35</v>
      </c>
    </row>
    <row r="182" spans="64:72">
      <c r="BL182" t="s">
        <v>1063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40</v>
      </c>
    </row>
    <row r="183" spans="64:72">
      <c r="BL183" t="s">
        <v>1096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40</v>
      </c>
    </row>
    <row r="184" spans="64:72">
      <c r="BL184" t="s">
        <v>823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5</v>
      </c>
    </row>
    <row r="185" spans="64:72">
      <c r="BL185" t="s">
        <v>867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20</v>
      </c>
    </row>
    <row r="186" spans="64:72">
      <c r="BL186" t="s">
        <v>909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15</v>
      </c>
    </row>
    <row r="187" spans="64:72">
      <c r="BL187" t="s">
        <v>1887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30</v>
      </c>
    </row>
    <row r="188" spans="64:72">
      <c r="BL188" t="s">
        <v>1888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55</v>
      </c>
    </row>
    <row r="189" spans="64:72">
      <c r="BL189" t="s">
        <v>1097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15</v>
      </c>
    </row>
    <row r="190" spans="64:72">
      <c r="BL190" t="s">
        <v>1127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35</v>
      </c>
    </row>
    <row r="191" spans="64:72">
      <c r="BL191" t="s">
        <v>1156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55</v>
      </c>
    </row>
    <row r="192" spans="64:72">
      <c r="BL192" t="s">
        <v>1179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70</v>
      </c>
    </row>
    <row r="193" spans="64:72">
      <c r="BL193" t="s">
        <v>1202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40</v>
      </c>
    </row>
    <row r="194" spans="64:72">
      <c r="BL194" t="s">
        <v>868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50</v>
      </c>
    </row>
    <row r="195" spans="64:72">
      <c r="BL195" t="s">
        <v>910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50</v>
      </c>
    </row>
    <row r="196" spans="64:72">
      <c r="BL196" t="s">
        <v>952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180</v>
      </c>
    </row>
    <row r="197" spans="64:72">
      <c r="BL197" t="s">
        <v>994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18</v>
      </c>
    </row>
    <row r="198" spans="64:72">
      <c r="BL198" t="s">
        <v>1029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20</v>
      </c>
    </row>
    <row r="199" spans="64:72">
      <c r="BL199" t="s">
        <v>1065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60</v>
      </c>
    </row>
    <row r="200" spans="64:72">
      <c r="BL200" t="s">
        <v>1098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20</v>
      </c>
    </row>
    <row r="201" spans="64:72">
      <c r="BL201" t="s">
        <v>1128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80</v>
      </c>
    </row>
    <row r="202" spans="64:72">
      <c r="BL202" t="s">
        <v>1157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10</v>
      </c>
    </row>
    <row r="203" spans="64:72">
      <c r="BL203" t="s">
        <v>1180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145</v>
      </c>
    </row>
    <row r="204" spans="64:72">
      <c r="BL204" t="s">
        <v>1889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18</v>
      </c>
    </row>
    <row r="205" spans="64:72">
      <c r="BL205" t="s">
        <v>995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10</v>
      </c>
    </row>
    <row r="206" spans="64:72">
      <c r="BL206" t="s">
        <v>1030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25</v>
      </c>
    </row>
    <row r="207" spans="64:72">
      <c r="BL207" t="s">
        <v>1890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30</v>
      </c>
    </row>
    <row r="208" spans="64:72">
      <c r="BL208" t="s">
        <v>1129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20</v>
      </c>
    </row>
    <row r="209" spans="64:72">
      <c r="BL209" t="s">
        <v>1158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25</v>
      </c>
    </row>
    <row r="210" spans="64:72">
      <c r="BL210" t="s">
        <v>1891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55</v>
      </c>
    </row>
    <row r="211" spans="64:72">
      <c r="BL211" t="s">
        <v>1222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70</v>
      </c>
    </row>
    <row r="212" spans="64:72">
      <c r="BL212" t="s">
        <v>1221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1100</v>
      </c>
    </row>
    <row r="213" spans="64:72">
      <c r="BL213" t="s">
        <v>1892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150</v>
      </c>
    </row>
    <row r="214" spans="64:72">
      <c r="BL214" t="s">
        <v>1260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30</v>
      </c>
    </row>
    <row r="215" spans="64:72">
      <c r="BL215" t="s">
        <v>1893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1100</v>
      </c>
    </row>
    <row r="216" spans="64:72">
      <c r="BL216" t="s">
        <v>1894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12</v>
      </c>
    </row>
    <row r="217" spans="64:72">
      <c r="BL217" t="s">
        <v>1895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15</v>
      </c>
    </row>
    <row r="218" spans="64:72">
      <c r="BL218" t="s">
        <v>1896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25</v>
      </c>
    </row>
    <row r="219" spans="64:72">
      <c r="BL219" t="s">
        <v>1897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30</v>
      </c>
    </row>
    <row r="220" spans="64:72">
      <c r="BL220" t="s">
        <v>1898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25</v>
      </c>
    </row>
    <row r="221" spans="64:72">
      <c r="BL221" t="s">
        <v>1899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80</v>
      </c>
    </row>
    <row r="222" spans="64:72">
      <c r="BL222" t="s">
        <v>1900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35</v>
      </c>
    </row>
    <row r="223" spans="64:72">
      <c r="BL223" t="s">
        <v>1901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40</v>
      </c>
    </row>
    <row r="224" spans="64:72">
      <c r="BL224" t="s">
        <v>1902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30</v>
      </c>
    </row>
    <row r="225" spans="64:72">
      <c r="BL225" t="s">
        <v>1903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40</v>
      </c>
    </row>
    <row r="226" spans="64:72">
      <c r="BL226" t="s">
        <v>121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85</v>
      </c>
    </row>
    <row r="227" spans="64:72">
      <c r="BL227" t="s">
        <v>1904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150</v>
      </c>
    </row>
    <row r="228" spans="64:72">
      <c r="BL228" t="s">
        <v>1905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60</v>
      </c>
    </row>
    <row r="229" spans="64:72">
      <c r="BL229" t="s">
        <v>1906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85</v>
      </c>
    </row>
    <row r="230" spans="64:72">
      <c r="BL230" t="s">
        <v>1907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120</v>
      </c>
    </row>
    <row r="231" spans="64:72">
      <c r="BL231" t="s">
        <v>1908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135</v>
      </c>
    </row>
    <row r="232" spans="64:72">
      <c r="BL232" t="s">
        <v>1909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195</v>
      </c>
    </row>
    <row r="233" spans="64:72">
      <c r="BL233" t="s">
        <v>1910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270</v>
      </c>
    </row>
    <row r="234" spans="64:72">
      <c r="BL234" t="s">
        <v>1911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460</v>
      </c>
    </row>
    <row r="235" spans="64:72">
      <c r="BL235" t="s">
        <v>1912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600</v>
      </c>
    </row>
    <row r="236" spans="64:72">
      <c r="BL236" t="s">
        <v>1913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400</v>
      </c>
    </row>
    <row r="237" spans="64:72">
      <c r="BL237" t="s">
        <v>1914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1600</v>
      </c>
    </row>
    <row r="238" spans="64:72">
      <c r="BL238" t="s">
        <v>1915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13</v>
      </c>
    </row>
    <row r="239" spans="64:72">
      <c r="BL239" t="s">
        <v>1916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25</v>
      </c>
    </row>
    <row r="240" spans="64:72">
      <c r="BL240" t="s">
        <v>1917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35</v>
      </c>
    </row>
    <row r="241" spans="64:72">
      <c r="BL241" t="s">
        <v>1918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40</v>
      </c>
    </row>
    <row r="242" spans="64:72">
      <c r="BL242" t="s">
        <v>1919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85</v>
      </c>
    </row>
    <row r="243" spans="64:72">
      <c r="BL243" t="s">
        <v>1920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45</v>
      </c>
    </row>
    <row r="244" spans="64:72">
      <c r="BL244" t="s">
        <v>1921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50</v>
      </c>
    </row>
    <row r="245" spans="64:72">
      <c r="BL245" t="s">
        <v>1922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70</v>
      </c>
    </row>
    <row r="246" spans="64:72">
      <c r="BL246" t="s">
        <v>1923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80</v>
      </c>
    </row>
    <row r="247" spans="64:72">
      <c r="BL247" t="s">
        <v>1924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225</v>
      </c>
    </row>
    <row r="248" spans="64:72">
      <c r="BL248" t="s">
        <v>1290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1100</v>
      </c>
    </row>
    <row r="249" spans="64:72">
      <c r="BL249" t="s">
        <v>1094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1400</v>
      </c>
    </row>
    <row r="250" spans="64:72">
      <c r="BL250" t="s">
        <v>1069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1400</v>
      </c>
    </row>
    <row r="251" spans="64:72">
      <c r="BL251" t="s">
        <v>1925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10300</v>
      </c>
    </row>
    <row r="252" spans="64:72">
      <c r="BL252" t="s">
        <v>2121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5</v>
      </c>
    </row>
    <row r="253" spans="64:72">
      <c r="BL253" t="s">
        <v>2207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360</v>
      </c>
    </row>
    <row r="254" spans="64:72">
      <c r="BL254" t="s">
        <v>2208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3</v>
      </c>
    </row>
    <row r="255" spans="64:72">
      <c r="BL255" t="s">
        <v>2209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</row>
    <row r="256" spans="64:72">
      <c r="BL256" t="s">
        <v>2210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</row>
    <row r="257" spans="64:72">
      <c r="BL257" t="s">
        <v>2211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</row>
    <row r="258" spans="64:72">
      <c r="BL258" t="s">
        <v>2212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</row>
    <row r="259" spans="64:72">
      <c r="BL259" t="s">
        <v>2213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</row>
  </sheetData>
  <sheetProtection selectLockedCells="1" selectUnlockedCells="1"/>
  <dataConsolidate/>
  <phoneticPr fontId="2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Y108"/>
  <sheetViews>
    <sheetView workbookViewId="0">
      <pane xSplit="2" ySplit="1" topLeftCell="C20" activePane="bottomRight" state="frozenSplit"/>
      <selection pane="topRight" activeCell="C1" sqref="C1"/>
      <selection pane="bottomLeft" activeCell="A2" sqref="A2"/>
      <selection pane="bottomRight" activeCell="K106" sqref="K106"/>
    </sheetView>
  </sheetViews>
  <sheetFormatPr defaultRowHeight="13"/>
  <cols>
    <col min="2" max="2" width="10.6328125" bestFit="1" customWidth="1"/>
    <col min="3" max="3" width="12.453125" bestFit="1" customWidth="1"/>
    <col min="4" max="4" width="12.453125" customWidth="1"/>
    <col min="10" max="10" width="58.6328125" bestFit="1" customWidth="1"/>
  </cols>
  <sheetData>
    <row r="1" spans="2:25">
      <c r="B1" t="s">
        <v>2</v>
      </c>
      <c r="C1" t="s">
        <v>381</v>
      </c>
      <c r="D1" t="s">
        <v>382</v>
      </c>
      <c r="E1" t="s">
        <v>383</v>
      </c>
      <c r="F1" t="s">
        <v>384</v>
      </c>
      <c r="G1" t="s">
        <v>385</v>
      </c>
      <c r="H1" t="s">
        <v>386</v>
      </c>
      <c r="I1" t="s">
        <v>387</v>
      </c>
      <c r="J1" t="s">
        <v>388</v>
      </c>
      <c r="K1" t="s">
        <v>389</v>
      </c>
      <c r="L1" t="s">
        <v>390</v>
      </c>
      <c r="M1" t="s">
        <v>391</v>
      </c>
      <c r="N1" t="s">
        <v>392</v>
      </c>
      <c r="O1" t="s">
        <v>393</v>
      </c>
      <c r="P1" t="s">
        <v>394</v>
      </c>
      <c r="Q1" t="s">
        <v>395</v>
      </c>
      <c r="R1" t="s">
        <v>414</v>
      </c>
      <c r="S1" t="s">
        <v>415</v>
      </c>
      <c r="T1" t="s">
        <v>416</v>
      </c>
      <c r="U1" t="s">
        <v>417</v>
      </c>
      <c r="V1" t="s">
        <v>418</v>
      </c>
      <c r="W1" t="s">
        <v>419</v>
      </c>
      <c r="X1" t="s">
        <v>420</v>
      </c>
      <c r="Y1" t="s">
        <v>421</v>
      </c>
    </row>
    <row r="2" spans="2:25">
      <c r="B2" t="s">
        <v>20</v>
      </c>
      <c r="C2" t="str">
        <f t="shared" ref="C2:J2" si="0">"-"</f>
        <v>-</v>
      </c>
      <c r="D2" t="str">
        <f t="shared" si="0"/>
        <v>-</v>
      </c>
      <c r="E2" t="str">
        <f t="shared" si="0"/>
        <v>-</v>
      </c>
      <c r="F2" t="str">
        <f t="shared" si="0"/>
        <v>-</v>
      </c>
      <c r="G2" t="str">
        <f t="shared" si="0"/>
        <v>-</v>
      </c>
      <c r="H2" t="str">
        <f t="shared" si="0"/>
        <v>-</v>
      </c>
      <c r="I2" t="str">
        <f t="shared" si="0"/>
        <v>-</v>
      </c>
      <c r="J2" t="str">
        <f t="shared" si="0"/>
        <v>-</v>
      </c>
      <c r="K2">
        <v>0</v>
      </c>
      <c r="L2">
        <v>-1</v>
      </c>
      <c r="M2">
        <v>-1</v>
      </c>
      <c r="N2">
        <v>-1</v>
      </c>
      <c r="O2">
        <v>-1</v>
      </c>
      <c r="P2" t="str">
        <f>LEFT(G2,3)</f>
        <v>-</v>
      </c>
      <c r="Q2">
        <f>IF(P2=G2,0,VALUE( SUBSTITUTE(G2,P2,"") ))</f>
        <v>0</v>
      </c>
      <c r="R2">
        <v>-1</v>
      </c>
      <c r="S2">
        <v>-1</v>
      </c>
      <c r="T2">
        <v>0</v>
      </c>
      <c r="U2">
        <v>0</v>
      </c>
      <c r="V2">
        <v>0</v>
      </c>
      <c r="W2">
        <v>0</v>
      </c>
      <c r="X2">
        <v>-1</v>
      </c>
      <c r="Y2">
        <v>-1</v>
      </c>
    </row>
    <row r="3" spans="2:25">
      <c r="B3" t="s">
        <v>817</v>
      </c>
      <c r="C3" t="s">
        <v>614</v>
      </c>
      <c r="D3" t="s">
        <v>1751</v>
      </c>
      <c r="E3" t="s">
        <v>1926</v>
      </c>
      <c r="F3" t="s">
        <v>1927</v>
      </c>
      <c r="G3" t="s">
        <v>1928</v>
      </c>
      <c r="H3">
        <v>-2</v>
      </c>
      <c r="I3" t="s">
        <v>1929</v>
      </c>
      <c r="J3" t="s">
        <v>1930</v>
      </c>
      <c r="K3">
        <v>5</v>
      </c>
      <c r="L3">
        <v>-1</v>
      </c>
      <c r="M3">
        <v>-1</v>
      </c>
      <c r="N3">
        <v>-1</v>
      </c>
      <c r="O3">
        <v>-1</v>
      </c>
      <c r="P3" t="str">
        <f>LEFT(G3,3)</f>
        <v>1d3</v>
      </c>
      <c r="Q3">
        <f>IF(P3=G3,0,VALUE( SUBSTITUTE(G3,P3,"") ))</f>
        <v>1</v>
      </c>
      <c r="R3">
        <v>-1</v>
      </c>
      <c r="S3">
        <v>-1</v>
      </c>
      <c r="T3">
        <v>0</v>
      </c>
      <c r="U3">
        <v>0</v>
      </c>
      <c r="V3">
        <v>0</v>
      </c>
      <c r="W3">
        <v>0</v>
      </c>
      <c r="X3">
        <v>-1</v>
      </c>
      <c r="Y3">
        <v>-1</v>
      </c>
    </row>
    <row r="4" spans="2:25">
      <c r="B4" t="s">
        <v>862</v>
      </c>
      <c r="C4" t="s">
        <v>614</v>
      </c>
      <c r="D4" t="s">
        <v>1751</v>
      </c>
      <c r="E4" t="s">
        <v>1926</v>
      </c>
      <c r="F4" t="s">
        <v>1931</v>
      </c>
      <c r="G4" t="s">
        <v>1928</v>
      </c>
      <c r="H4">
        <v>0</v>
      </c>
      <c r="I4" t="s">
        <v>1929</v>
      </c>
      <c r="J4" t="s">
        <v>1930</v>
      </c>
      <c r="K4">
        <v>10</v>
      </c>
      <c r="L4">
        <v>-1</v>
      </c>
      <c r="M4">
        <v>-1</v>
      </c>
      <c r="N4">
        <v>-1</v>
      </c>
      <c r="O4">
        <v>-1</v>
      </c>
      <c r="P4" t="str">
        <f t="shared" ref="P4:P48" si="1">LEFT(G4,3)</f>
        <v>1d3</v>
      </c>
      <c r="Q4">
        <f t="shared" ref="Q4:Q48" si="2">IF(P4=G4,0,VALUE( SUBSTITUTE(G4,P4,"") ))</f>
        <v>1</v>
      </c>
      <c r="R4">
        <v>-1</v>
      </c>
      <c r="S4">
        <v>-1</v>
      </c>
      <c r="T4">
        <v>0</v>
      </c>
      <c r="U4">
        <v>0</v>
      </c>
      <c r="V4">
        <v>0</v>
      </c>
      <c r="W4">
        <v>0</v>
      </c>
      <c r="X4">
        <v>-1</v>
      </c>
      <c r="Y4">
        <v>-1</v>
      </c>
    </row>
    <row r="5" spans="2:25">
      <c r="B5" t="s">
        <v>903</v>
      </c>
      <c r="C5" t="s">
        <v>614</v>
      </c>
      <c r="D5" t="s">
        <v>1751</v>
      </c>
      <c r="E5" t="s">
        <v>1926</v>
      </c>
      <c r="F5" t="s">
        <v>1932</v>
      </c>
      <c r="G5" t="s">
        <v>1933</v>
      </c>
      <c r="H5">
        <v>-2</v>
      </c>
      <c r="I5" t="s">
        <v>1929</v>
      </c>
      <c r="J5" t="s">
        <v>1934</v>
      </c>
      <c r="K5">
        <v>12</v>
      </c>
      <c r="L5">
        <v>-1</v>
      </c>
      <c r="M5">
        <v>-1</v>
      </c>
      <c r="N5">
        <v>-1</v>
      </c>
      <c r="O5">
        <v>-1</v>
      </c>
      <c r="P5" t="str">
        <f t="shared" si="1"/>
        <v>1d3</v>
      </c>
      <c r="Q5">
        <f t="shared" si="2"/>
        <v>2</v>
      </c>
      <c r="R5">
        <v>-1</v>
      </c>
      <c r="S5">
        <v>-1</v>
      </c>
      <c r="T5">
        <v>0</v>
      </c>
      <c r="U5">
        <v>0</v>
      </c>
      <c r="V5">
        <v>0</v>
      </c>
      <c r="W5">
        <v>0</v>
      </c>
      <c r="X5">
        <v>-1</v>
      </c>
      <c r="Y5">
        <v>-1</v>
      </c>
    </row>
    <row r="6" spans="2:25">
      <c r="B6" t="s">
        <v>945</v>
      </c>
      <c r="C6" t="s">
        <v>614</v>
      </c>
      <c r="D6" t="s">
        <v>1751</v>
      </c>
      <c r="E6" t="s">
        <v>1926</v>
      </c>
      <c r="F6" t="s">
        <v>1935</v>
      </c>
      <c r="G6" t="s">
        <v>1936</v>
      </c>
      <c r="H6">
        <v>-2</v>
      </c>
      <c r="I6" t="s">
        <v>1929</v>
      </c>
      <c r="J6" t="s">
        <v>1937</v>
      </c>
      <c r="K6">
        <v>10</v>
      </c>
      <c r="L6">
        <v>-1</v>
      </c>
      <c r="M6">
        <v>0</v>
      </c>
      <c r="N6">
        <v>0</v>
      </c>
      <c r="O6">
        <v>-1</v>
      </c>
      <c r="P6" t="str">
        <f t="shared" si="1"/>
        <v>1d6</v>
      </c>
      <c r="Q6">
        <f t="shared" si="2"/>
        <v>0</v>
      </c>
      <c r="R6">
        <v>-1</v>
      </c>
      <c r="S6">
        <v>-1</v>
      </c>
      <c r="T6">
        <v>0</v>
      </c>
      <c r="U6">
        <v>0</v>
      </c>
      <c r="V6">
        <v>0</v>
      </c>
      <c r="W6">
        <v>0</v>
      </c>
      <c r="X6">
        <v>-1</v>
      </c>
      <c r="Y6">
        <v>-1</v>
      </c>
    </row>
    <row r="7" spans="2:25">
      <c r="B7" t="s">
        <v>987</v>
      </c>
      <c r="C7" t="s">
        <v>614</v>
      </c>
      <c r="D7" t="s">
        <v>1751</v>
      </c>
      <c r="E7" t="s">
        <v>1926</v>
      </c>
      <c r="F7" t="s">
        <v>1931</v>
      </c>
      <c r="G7" t="s">
        <v>1936</v>
      </c>
      <c r="H7">
        <v>-2</v>
      </c>
      <c r="I7" t="s">
        <v>1929</v>
      </c>
      <c r="J7" t="s">
        <v>1938</v>
      </c>
      <c r="K7">
        <v>15</v>
      </c>
      <c r="L7">
        <v>0</v>
      </c>
      <c r="M7">
        <v>1</v>
      </c>
      <c r="N7">
        <v>-1</v>
      </c>
      <c r="O7">
        <v>-1</v>
      </c>
      <c r="P7" t="str">
        <f t="shared" si="1"/>
        <v>1d6</v>
      </c>
      <c r="Q7">
        <f t="shared" si="2"/>
        <v>0</v>
      </c>
      <c r="R7">
        <v>-1</v>
      </c>
      <c r="S7">
        <v>-1</v>
      </c>
      <c r="T7">
        <v>0</v>
      </c>
      <c r="U7">
        <v>0</v>
      </c>
      <c r="V7">
        <v>0</v>
      </c>
      <c r="W7">
        <v>0</v>
      </c>
      <c r="X7">
        <v>-1</v>
      </c>
      <c r="Y7">
        <v>-1</v>
      </c>
    </row>
    <row r="8" spans="2:25">
      <c r="B8" t="s">
        <v>1022</v>
      </c>
      <c r="C8" t="s">
        <v>614</v>
      </c>
      <c r="D8" t="s">
        <v>1751</v>
      </c>
      <c r="E8" t="s">
        <v>1926</v>
      </c>
      <c r="F8" t="s">
        <v>1939</v>
      </c>
      <c r="G8" t="s">
        <v>1936</v>
      </c>
      <c r="H8">
        <v>-2</v>
      </c>
      <c r="I8" t="s">
        <v>1929</v>
      </c>
      <c r="J8" t="s">
        <v>1940</v>
      </c>
      <c r="K8">
        <v>20</v>
      </c>
      <c r="L8">
        <v>0</v>
      </c>
      <c r="M8">
        <v>0</v>
      </c>
      <c r="N8">
        <v>-1</v>
      </c>
      <c r="O8">
        <v>1</v>
      </c>
      <c r="P8" t="str">
        <f t="shared" si="1"/>
        <v>1d6</v>
      </c>
      <c r="Q8">
        <f t="shared" si="2"/>
        <v>0</v>
      </c>
      <c r="R8">
        <v>-1</v>
      </c>
      <c r="S8">
        <v>-1</v>
      </c>
      <c r="T8">
        <v>0</v>
      </c>
      <c r="U8">
        <v>0</v>
      </c>
      <c r="V8">
        <v>0</v>
      </c>
      <c r="W8">
        <v>0</v>
      </c>
      <c r="X8">
        <v>-1</v>
      </c>
      <c r="Y8">
        <v>-1</v>
      </c>
    </row>
    <row r="9" spans="2:25">
      <c r="B9" t="s">
        <v>1058</v>
      </c>
      <c r="C9" t="s">
        <v>614</v>
      </c>
      <c r="D9" t="s">
        <v>1751</v>
      </c>
      <c r="E9" t="s">
        <v>1926</v>
      </c>
      <c r="F9" t="s">
        <v>1932</v>
      </c>
      <c r="G9" t="s">
        <v>1941</v>
      </c>
      <c r="H9">
        <v>-2</v>
      </c>
      <c r="I9" t="s">
        <v>1929</v>
      </c>
      <c r="J9" t="s">
        <v>1942</v>
      </c>
      <c r="K9">
        <v>20</v>
      </c>
      <c r="L9">
        <v>1</v>
      </c>
      <c r="M9">
        <v>-1</v>
      </c>
      <c r="N9">
        <v>-1</v>
      </c>
      <c r="O9">
        <v>-1</v>
      </c>
      <c r="P9" t="str">
        <f t="shared" si="1"/>
        <v>1d6</v>
      </c>
      <c r="Q9">
        <f t="shared" si="2"/>
        <v>1</v>
      </c>
      <c r="R9">
        <v>-1</v>
      </c>
      <c r="S9">
        <v>-1</v>
      </c>
      <c r="T9">
        <v>0</v>
      </c>
      <c r="U9">
        <v>0</v>
      </c>
      <c r="V9">
        <v>0</v>
      </c>
      <c r="W9">
        <v>0</v>
      </c>
      <c r="X9">
        <v>-1</v>
      </c>
      <c r="Y9">
        <v>-1</v>
      </c>
    </row>
    <row r="10" spans="2:25">
      <c r="B10" t="s">
        <v>1092</v>
      </c>
      <c r="C10" t="s">
        <v>614</v>
      </c>
      <c r="D10" t="s">
        <v>1751</v>
      </c>
      <c r="E10" t="s">
        <v>1926</v>
      </c>
      <c r="F10" t="s">
        <v>1927</v>
      </c>
      <c r="G10" t="s">
        <v>1941</v>
      </c>
      <c r="H10">
        <v>-2</v>
      </c>
      <c r="I10" t="s">
        <v>1929</v>
      </c>
      <c r="J10" t="s">
        <v>1943</v>
      </c>
      <c r="K10">
        <v>20</v>
      </c>
      <c r="L10">
        <v>-1</v>
      </c>
      <c r="M10">
        <v>-1</v>
      </c>
      <c r="N10">
        <v>-1</v>
      </c>
      <c r="O10">
        <v>2</v>
      </c>
      <c r="P10" t="str">
        <f t="shared" si="1"/>
        <v>1d6</v>
      </c>
      <c r="Q10">
        <f t="shared" si="2"/>
        <v>1</v>
      </c>
      <c r="R10">
        <v>-1</v>
      </c>
      <c r="S10">
        <v>-1</v>
      </c>
      <c r="T10">
        <v>0</v>
      </c>
      <c r="U10">
        <v>0</v>
      </c>
      <c r="V10">
        <v>0</v>
      </c>
      <c r="W10">
        <v>0</v>
      </c>
      <c r="X10">
        <v>-1</v>
      </c>
      <c r="Y10">
        <v>-1</v>
      </c>
    </row>
    <row r="11" spans="2:25">
      <c r="B11" t="s">
        <v>1124</v>
      </c>
      <c r="C11" t="s">
        <v>614</v>
      </c>
      <c r="D11" t="s">
        <v>1751</v>
      </c>
      <c r="E11" t="s">
        <v>1926</v>
      </c>
      <c r="F11" t="s">
        <v>1935</v>
      </c>
      <c r="G11" t="s">
        <v>1944</v>
      </c>
      <c r="H11">
        <v>-2</v>
      </c>
      <c r="I11" t="s">
        <v>1929</v>
      </c>
      <c r="J11" t="s">
        <v>1945</v>
      </c>
      <c r="K11">
        <v>30</v>
      </c>
      <c r="L11">
        <v>0</v>
      </c>
      <c r="M11">
        <v>1</v>
      </c>
      <c r="N11">
        <v>0</v>
      </c>
      <c r="O11">
        <v>-1</v>
      </c>
      <c r="P11" t="str">
        <f t="shared" si="1"/>
        <v>1d6</v>
      </c>
      <c r="Q11">
        <f t="shared" si="2"/>
        <v>3</v>
      </c>
      <c r="R11">
        <v>-1</v>
      </c>
      <c r="S11">
        <v>-1</v>
      </c>
      <c r="T11">
        <v>0</v>
      </c>
      <c r="U11">
        <v>0</v>
      </c>
      <c r="V11">
        <v>0</v>
      </c>
      <c r="W11">
        <v>0</v>
      </c>
      <c r="X11">
        <v>-1</v>
      </c>
      <c r="Y11">
        <v>-1</v>
      </c>
    </row>
    <row r="12" spans="2:25">
      <c r="B12" t="s">
        <v>1154</v>
      </c>
      <c r="C12" t="s">
        <v>614</v>
      </c>
      <c r="D12" t="s">
        <v>1751</v>
      </c>
      <c r="E12" t="s">
        <v>1926</v>
      </c>
      <c r="F12" t="s">
        <v>1932</v>
      </c>
      <c r="G12" t="s">
        <v>1944</v>
      </c>
      <c r="H12">
        <v>-2</v>
      </c>
      <c r="I12" t="s">
        <v>1929</v>
      </c>
      <c r="J12" t="s">
        <v>1942</v>
      </c>
      <c r="K12">
        <v>25</v>
      </c>
      <c r="L12">
        <v>1</v>
      </c>
      <c r="M12">
        <v>-1</v>
      </c>
      <c r="N12">
        <v>-1</v>
      </c>
      <c r="O12">
        <v>-1</v>
      </c>
      <c r="P12" t="str">
        <f t="shared" si="1"/>
        <v>1d6</v>
      </c>
      <c r="Q12">
        <f t="shared" si="2"/>
        <v>3</v>
      </c>
      <c r="R12">
        <v>-1</v>
      </c>
      <c r="S12">
        <v>-1</v>
      </c>
      <c r="T12">
        <v>0</v>
      </c>
      <c r="U12">
        <v>0</v>
      </c>
      <c r="V12">
        <v>0</v>
      </c>
      <c r="W12">
        <v>0</v>
      </c>
      <c r="X12">
        <v>-1</v>
      </c>
      <c r="Y12">
        <v>-1</v>
      </c>
    </row>
    <row r="13" spans="2:25">
      <c r="B13" t="s">
        <v>1178</v>
      </c>
      <c r="C13" t="s">
        <v>614</v>
      </c>
      <c r="D13" t="s">
        <v>1751</v>
      </c>
      <c r="E13" t="s">
        <v>1926</v>
      </c>
      <c r="F13" t="s">
        <v>1939</v>
      </c>
      <c r="G13" t="s">
        <v>1946</v>
      </c>
      <c r="H13">
        <v>-4</v>
      </c>
      <c r="I13" t="s">
        <v>1929</v>
      </c>
      <c r="J13" t="s">
        <v>1938</v>
      </c>
      <c r="K13">
        <v>50</v>
      </c>
      <c r="L13">
        <v>0</v>
      </c>
      <c r="M13">
        <v>1</v>
      </c>
      <c r="N13">
        <v>-1</v>
      </c>
      <c r="O13">
        <v>-1</v>
      </c>
      <c r="P13" t="str">
        <f t="shared" si="1"/>
        <v>1d6</v>
      </c>
      <c r="Q13">
        <f t="shared" si="2"/>
        <v>2</v>
      </c>
      <c r="R13">
        <v>-1</v>
      </c>
      <c r="S13">
        <v>-1</v>
      </c>
      <c r="T13">
        <v>0</v>
      </c>
      <c r="U13">
        <v>0</v>
      </c>
      <c r="V13">
        <v>0</v>
      </c>
      <c r="W13">
        <v>0</v>
      </c>
      <c r="X13">
        <v>-1</v>
      </c>
      <c r="Y13">
        <v>-1</v>
      </c>
    </row>
    <row r="14" spans="2:25">
      <c r="B14" t="s">
        <v>1201</v>
      </c>
      <c r="C14" t="s">
        <v>614</v>
      </c>
      <c r="D14" t="s">
        <v>1759</v>
      </c>
      <c r="E14" t="s">
        <v>1947</v>
      </c>
      <c r="F14" t="s">
        <v>1939</v>
      </c>
      <c r="G14" t="s">
        <v>1948</v>
      </c>
      <c r="H14">
        <v>-2</v>
      </c>
      <c r="I14" t="s">
        <v>1929</v>
      </c>
      <c r="J14" t="s">
        <v>1949</v>
      </c>
      <c r="K14">
        <v>0</v>
      </c>
      <c r="L14">
        <v>1</v>
      </c>
      <c r="M14">
        <v>2</v>
      </c>
      <c r="N14">
        <v>0</v>
      </c>
      <c r="O14">
        <v>1</v>
      </c>
      <c r="P14" t="str">
        <f t="shared" si="1"/>
        <v>2d6</v>
      </c>
      <c r="Q14">
        <f t="shared" si="2"/>
        <v>2</v>
      </c>
      <c r="R14">
        <v>-1</v>
      </c>
      <c r="S14">
        <v>-1</v>
      </c>
      <c r="T14">
        <v>0</v>
      </c>
      <c r="U14">
        <v>0</v>
      </c>
      <c r="V14">
        <v>0</v>
      </c>
      <c r="W14">
        <v>0</v>
      </c>
      <c r="X14">
        <v>-1</v>
      </c>
      <c r="Y14">
        <v>-1</v>
      </c>
    </row>
    <row r="15" spans="2:25">
      <c r="B15" t="s">
        <v>818</v>
      </c>
      <c r="C15" t="s">
        <v>616</v>
      </c>
      <c r="D15" t="s">
        <v>1759</v>
      </c>
      <c r="E15" t="s">
        <v>1947</v>
      </c>
      <c r="F15" t="s">
        <v>1932</v>
      </c>
      <c r="G15" t="s">
        <v>1946</v>
      </c>
      <c r="H15">
        <v>0</v>
      </c>
      <c r="I15" t="s">
        <v>1929</v>
      </c>
      <c r="J15" t="s">
        <v>1950</v>
      </c>
      <c r="K15">
        <v>30</v>
      </c>
      <c r="L15">
        <v>-1</v>
      </c>
      <c r="M15">
        <v>1</v>
      </c>
      <c r="N15">
        <v>-1</v>
      </c>
      <c r="O15">
        <v>-1</v>
      </c>
      <c r="P15" t="str">
        <f t="shared" si="1"/>
        <v>1d6</v>
      </c>
      <c r="Q15">
        <f t="shared" si="2"/>
        <v>2</v>
      </c>
      <c r="R15">
        <v>-1</v>
      </c>
      <c r="S15">
        <v>-1</v>
      </c>
      <c r="T15">
        <v>0</v>
      </c>
      <c r="U15">
        <v>0</v>
      </c>
      <c r="V15">
        <v>0</v>
      </c>
      <c r="W15">
        <v>0</v>
      </c>
      <c r="X15">
        <v>-1</v>
      </c>
      <c r="Y15">
        <v>-1</v>
      </c>
    </row>
    <row r="16" spans="2:25">
      <c r="B16" t="s">
        <v>105</v>
      </c>
      <c r="C16" t="s">
        <v>616</v>
      </c>
      <c r="D16" t="s">
        <v>1759</v>
      </c>
      <c r="E16" t="s">
        <v>1947</v>
      </c>
      <c r="F16" t="s">
        <v>1932</v>
      </c>
      <c r="G16" t="s">
        <v>1951</v>
      </c>
      <c r="H16">
        <v>0</v>
      </c>
      <c r="I16" t="s">
        <v>1929</v>
      </c>
      <c r="J16" t="s">
        <v>1952</v>
      </c>
      <c r="K16">
        <v>45</v>
      </c>
      <c r="L16">
        <v>1</v>
      </c>
      <c r="M16">
        <v>-1</v>
      </c>
      <c r="N16">
        <v>-1</v>
      </c>
      <c r="O16">
        <v>-1</v>
      </c>
      <c r="P16" t="str">
        <f t="shared" ref="P16:P17" si="3">LEFT(G16,3)</f>
        <v>2d6</v>
      </c>
      <c r="Q16">
        <f t="shared" ref="Q16:Q17" si="4">IF(P16=G16,0,VALUE( SUBSTITUTE(G16,P16,"") ))</f>
        <v>0</v>
      </c>
      <c r="R16">
        <v>-1</v>
      </c>
      <c r="S16">
        <v>-1</v>
      </c>
      <c r="T16">
        <v>0</v>
      </c>
      <c r="U16">
        <v>0</v>
      </c>
      <c r="V16">
        <v>0</v>
      </c>
      <c r="W16">
        <v>0</v>
      </c>
      <c r="X16">
        <v>-1</v>
      </c>
      <c r="Y16">
        <v>-1</v>
      </c>
    </row>
    <row r="17" spans="2:25">
      <c r="B17" t="s">
        <v>904</v>
      </c>
      <c r="C17" t="s">
        <v>616</v>
      </c>
      <c r="D17" t="s">
        <v>1759</v>
      </c>
      <c r="E17" t="s">
        <v>1947</v>
      </c>
      <c r="F17" t="s">
        <v>1939</v>
      </c>
      <c r="G17" t="s">
        <v>1953</v>
      </c>
      <c r="H17">
        <v>-6</v>
      </c>
      <c r="I17" t="s">
        <v>1929</v>
      </c>
      <c r="J17" t="s">
        <v>1954</v>
      </c>
      <c r="K17">
        <v>65</v>
      </c>
      <c r="L17">
        <v>-1</v>
      </c>
      <c r="M17">
        <v>0</v>
      </c>
      <c r="N17">
        <v>-1</v>
      </c>
      <c r="O17">
        <v>-1</v>
      </c>
      <c r="P17" t="str">
        <f t="shared" si="3"/>
        <v>1d6</v>
      </c>
      <c r="Q17">
        <f t="shared" si="4"/>
        <v>4</v>
      </c>
      <c r="R17">
        <v>-1</v>
      </c>
      <c r="S17">
        <v>-1</v>
      </c>
      <c r="T17">
        <v>0</v>
      </c>
      <c r="U17">
        <v>0</v>
      </c>
      <c r="V17">
        <v>0</v>
      </c>
      <c r="W17">
        <v>0</v>
      </c>
      <c r="X17">
        <v>-1</v>
      </c>
      <c r="Y17">
        <v>-1</v>
      </c>
    </row>
    <row r="18" spans="2:25">
      <c r="B18" t="s">
        <v>946</v>
      </c>
      <c r="C18" t="s">
        <v>616</v>
      </c>
      <c r="D18" t="s">
        <v>1759</v>
      </c>
      <c r="E18" t="s">
        <v>1947</v>
      </c>
      <c r="F18" t="s">
        <v>1939</v>
      </c>
      <c r="G18" t="s">
        <v>1955</v>
      </c>
      <c r="H18">
        <v>-2</v>
      </c>
      <c r="I18" t="s">
        <v>1929</v>
      </c>
      <c r="J18" t="s">
        <v>1956</v>
      </c>
      <c r="K18">
        <v>0</v>
      </c>
      <c r="L18">
        <v>0</v>
      </c>
      <c r="M18">
        <v>1</v>
      </c>
      <c r="N18">
        <v>0</v>
      </c>
      <c r="O18">
        <v>1</v>
      </c>
      <c r="P18" t="str">
        <f t="shared" ref="P18" si="5">LEFT(G18,3)</f>
        <v>2d6</v>
      </c>
      <c r="Q18">
        <f t="shared" ref="Q18" si="6">IF(P18=G18,0,VALUE( SUBSTITUTE(G18,P18,"") ))</f>
        <v>3</v>
      </c>
      <c r="R18">
        <v>-1</v>
      </c>
      <c r="S18">
        <v>-1</v>
      </c>
      <c r="T18">
        <v>0</v>
      </c>
      <c r="U18">
        <v>0</v>
      </c>
      <c r="V18">
        <v>0</v>
      </c>
      <c r="W18">
        <v>0</v>
      </c>
      <c r="X18">
        <v>-1</v>
      </c>
      <c r="Y18">
        <v>-1</v>
      </c>
    </row>
    <row r="19" spans="2:25">
      <c r="B19" t="s">
        <v>988</v>
      </c>
      <c r="C19" t="s">
        <v>616</v>
      </c>
      <c r="D19" t="s">
        <v>1759</v>
      </c>
      <c r="E19" t="s">
        <v>1947</v>
      </c>
      <c r="F19" t="s">
        <v>1927</v>
      </c>
      <c r="G19" t="s">
        <v>1948</v>
      </c>
      <c r="H19">
        <v>-2</v>
      </c>
      <c r="I19" t="s">
        <v>1929</v>
      </c>
      <c r="J19" t="s">
        <v>1957</v>
      </c>
      <c r="K19">
        <v>45</v>
      </c>
      <c r="L19">
        <v>-1</v>
      </c>
      <c r="M19">
        <v>-1</v>
      </c>
      <c r="N19">
        <v>-1</v>
      </c>
      <c r="O19">
        <v>2</v>
      </c>
      <c r="P19" t="str">
        <f t="shared" ref="P19:P21" si="7">LEFT(G19,3)</f>
        <v>2d6</v>
      </c>
      <c r="Q19">
        <f t="shared" ref="Q19:Q21" si="8">IF(P19=G19,0,VALUE( SUBSTITUTE(G19,P19,"") ))</f>
        <v>2</v>
      </c>
      <c r="R19">
        <v>-1</v>
      </c>
      <c r="S19">
        <v>-1</v>
      </c>
      <c r="T19">
        <v>0</v>
      </c>
      <c r="U19">
        <v>0</v>
      </c>
      <c r="V19">
        <v>0</v>
      </c>
      <c r="W19">
        <v>0</v>
      </c>
      <c r="X19">
        <v>-1</v>
      </c>
      <c r="Y19">
        <v>-1</v>
      </c>
    </row>
    <row r="20" spans="2:25">
      <c r="B20" t="s">
        <v>1023</v>
      </c>
      <c r="C20" t="s">
        <v>616</v>
      </c>
      <c r="D20" t="s">
        <v>1759</v>
      </c>
      <c r="E20" t="s">
        <v>1947</v>
      </c>
      <c r="F20" t="s">
        <v>1931</v>
      </c>
      <c r="G20" t="s">
        <v>1958</v>
      </c>
      <c r="H20">
        <v>-2</v>
      </c>
      <c r="I20" t="s">
        <v>1929</v>
      </c>
      <c r="J20" t="s">
        <v>1959</v>
      </c>
      <c r="K20">
        <v>100</v>
      </c>
      <c r="L20">
        <v>1</v>
      </c>
      <c r="M20">
        <v>2</v>
      </c>
      <c r="N20">
        <v>-1</v>
      </c>
      <c r="O20">
        <v>1</v>
      </c>
      <c r="P20" t="str">
        <f t="shared" si="7"/>
        <v>2d6</v>
      </c>
      <c r="Q20">
        <f t="shared" si="8"/>
        <v>4</v>
      </c>
      <c r="R20">
        <v>-1</v>
      </c>
      <c r="S20">
        <v>-1</v>
      </c>
      <c r="T20">
        <v>0</v>
      </c>
      <c r="U20">
        <v>0</v>
      </c>
      <c r="V20">
        <v>0</v>
      </c>
      <c r="W20">
        <v>0</v>
      </c>
      <c r="X20">
        <v>-1</v>
      </c>
      <c r="Y20">
        <v>-1</v>
      </c>
    </row>
    <row r="21" spans="2:25">
      <c r="B21" t="s">
        <v>1059</v>
      </c>
      <c r="C21" t="s">
        <v>616</v>
      </c>
      <c r="D21" t="s">
        <v>1759</v>
      </c>
      <c r="E21" t="s">
        <v>1947</v>
      </c>
      <c r="F21" t="s">
        <v>1939</v>
      </c>
      <c r="G21" t="s">
        <v>1958</v>
      </c>
      <c r="H21">
        <v>-2</v>
      </c>
      <c r="I21" t="s">
        <v>1929</v>
      </c>
      <c r="J21" t="s">
        <v>1960</v>
      </c>
      <c r="K21">
        <v>85</v>
      </c>
      <c r="L21">
        <v>1</v>
      </c>
      <c r="M21">
        <v>3</v>
      </c>
      <c r="N21">
        <v>1</v>
      </c>
      <c r="O21">
        <v>1</v>
      </c>
      <c r="P21" t="str">
        <f t="shared" si="7"/>
        <v>2d6</v>
      </c>
      <c r="Q21">
        <f t="shared" si="8"/>
        <v>4</v>
      </c>
      <c r="R21">
        <v>-1</v>
      </c>
      <c r="S21">
        <v>-1</v>
      </c>
      <c r="T21">
        <v>0</v>
      </c>
      <c r="U21">
        <v>0</v>
      </c>
      <c r="V21">
        <v>0</v>
      </c>
      <c r="W21">
        <v>0</v>
      </c>
      <c r="X21">
        <v>-1</v>
      </c>
      <c r="Y21">
        <v>-1</v>
      </c>
    </row>
    <row r="22" spans="2:25">
      <c r="B22" t="s">
        <v>819</v>
      </c>
      <c r="C22" t="s">
        <v>619</v>
      </c>
      <c r="D22" t="s">
        <v>1751</v>
      </c>
      <c r="E22" t="s">
        <v>1926</v>
      </c>
      <c r="F22" t="s">
        <v>1961</v>
      </c>
      <c r="G22" t="s">
        <v>1962</v>
      </c>
      <c r="H22">
        <v>0</v>
      </c>
      <c r="I22" t="s">
        <v>1929</v>
      </c>
      <c r="J22" t="s">
        <v>1963</v>
      </c>
      <c r="K22">
        <v>5</v>
      </c>
      <c r="L22">
        <v>-1</v>
      </c>
      <c r="M22">
        <v>-1</v>
      </c>
      <c r="N22">
        <v>0</v>
      </c>
      <c r="O22">
        <v>-1</v>
      </c>
      <c r="P22" t="str">
        <f t="shared" si="1"/>
        <v>1d3</v>
      </c>
      <c r="Q22">
        <f t="shared" si="2"/>
        <v>0</v>
      </c>
      <c r="R22">
        <v>-1</v>
      </c>
      <c r="S22">
        <v>-1</v>
      </c>
      <c r="T22">
        <v>0</v>
      </c>
      <c r="U22">
        <v>0</v>
      </c>
      <c r="V22">
        <v>0</v>
      </c>
      <c r="W22">
        <v>0</v>
      </c>
      <c r="X22">
        <v>-1</v>
      </c>
      <c r="Y22">
        <v>-1</v>
      </c>
    </row>
    <row r="23" spans="2:25">
      <c r="B23" t="s">
        <v>863</v>
      </c>
      <c r="C23" t="s">
        <v>619</v>
      </c>
      <c r="D23" t="s">
        <v>1751</v>
      </c>
      <c r="E23" t="s">
        <v>1926</v>
      </c>
      <c r="F23" t="s">
        <v>1961</v>
      </c>
      <c r="G23" t="s">
        <v>1928</v>
      </c>
      <c r="H23">
        <v>-2</v>
      </c>
      <c r="I23" t="s">
        <v>1929</v>
      </c>
      <c r="J23" t="s">
        <v>1964</v>
      </c>
      <c r="K23">
        <v>6</v>
      </c>
      <c r="L23">
        <v>-1</v>
      </c>
      <c r="M23">
        <v>-1</v>
      </c>
      <c r="N23">
        <v>0</v>
      </c>
      <c r="O23">
        <v>-1</v>
      </c>
      <c r="P23" t="str">
        <f t="shared" si="1"/>
        <v>1d3</v>
      </c>
      <c r="Q23">
        <f t="shared" si="2"/>
        <v>1</v>
      </c>
      <c r="R23">
        <v>-1</v>
      </c>
      <c r="S23">
        <v>-1</v>
      </c>
      <c r="T23">
        <v>0</v>
      </c>
      <c r="U23">
        <v>0</v>
      </c>
      <c r="V23">
        <v>0</v>
      </c>
      <c r="W23">
        <v>0</v>
      </c>
      <c r="X23">
        <v>-1</v>
      </c>
      <c r="Y23">
        <v>-1</v>
      </c>
    </row>
    <row r="24" spans="2:25">
      <c r="B24" t="s">
        <v>905</v>
      </c>
      <c r="C24" t="s">
        <v>619</v>
      </c>
      <c r="D24" t="s">
        <v>1751</v>
      </c>
      <c r="E24" t="s">
        <v>1926</v>
      </c>
      <c r="F24" t="s">
        <v>1961</v>
      </c>
      <c r="G24" t="s">
        <v>1936</v>
      </c>
      <c r="H24">
        <v>1</v>
      </c>
      <c r="I24" t="s">
        <v>1929</v>
      </c>
      <c r="J24" t="s">
        <v>1965</v>
      </c>
      <c r="K24">
        <v>20</v>
      </c>
      <c r="L24">
        <v>-1</v>
      </c>
      <c r="M24">
        <v>-1</v>
      </c>
      <c r="N24">
        <v>0</v>
      </c>
      <c r="O24">
        <v>-1</v>
      </c>
      <c r="P24" t="str">
        <f t="shared" si="1"/>
        <v>1d6</v>
      </c>
      <c r="Q24">
        <f t="shared" si="2"/>
        <v>0</v>
      </c>
      <c r="R24">
        <v>-1</v>
      </c>
      <c r="S24">
        <v>-1</v>
      </c>
      <c r="T24">
        <v>0</v>
      </c>
      <c r="U24">
        <v>0</v>
      </c>
      <c r="V24">
        <v>0</v>
      </c>
      <c r="W24">
        <v>0</v>
      </c>
      <c r="X24">
        <v>-1</v>
      </c>
      <c r="Y24">
        <v>-1</v>
      </c>
    </row>
    <row r="25" spans="2:25">
      <c r="B25" t="s">
        <v>947</v>
      </c>
      <c r="C25" t="s">
        <v>619</v>
      </c>
      <c r="D25" t="s">
        <v>1751</v>
      </c>
      <c r="E25" t="s">
        <v>1926</v>
      </c>
      <c r="F25" t="s">
        <v>1927</v>
      </c>
      <c r="G25" t="s">
        <v>1936</v>
      </c>
      <c r="H25">
        <v>1</v>
      </c>
      <c r="I25" t="s">
        <v>1929</v>
      </c>
      <c r="J25" t="s">
        <v>1966</v>
      </c>
      <c r="K25">
        <v>20</v>
      </c>
      <c r="L25">
        <v>-1</v>
      </c>
      <c r="M25">
        <v>-1</v>
      </c>
      <c r="N25">
        <v>-1</v>
      </c>
      <c r="O25">
        <v>1</v>
      </c>
      <c r="P25" t="str">
        <f t="shared" si="1"/>
        <v>1d6</v>
      </c>
      <c r="Q25">
        <f t="shared" si="2"/>
        <v>0</v>
      </c>
      <c r="R25">
        <v>-1</v>
      </c>
      <c r="S25">
        <v>-1</v>
      </c>
      <c r="T25">
        <v>0</v>
      </c>
      <c r="U25">
        <v>0</v>
      </c>
      <c r="V25">
        <v>0</v>
      </c>
      <c r="W25">
        <v>0</v>
      </c>
      <c r="X25">
        <v>-1</v>
      </c>
      <c r="Y25">
        <v>-1</v>
      </c>
    </row>
    <row r="26" spans="2:25">
      <c r="B26" t="s">
        <v>989</v>
      </c>
      <c r="C26" t="s">
        <v>619</v>
      </c>
      <c r="D26" t="s">
        <v>1759</v>
      </c>
      <c r="E26" t="s">
        <v>1926</v>
      </c>
      <c r="F26" t="s">
        <v>1961</v>
      </c>
      <c r="G26" t="s">
        <v>1946</v>
      </c>
      <c r="H26">
        <v>1</v>
      </c>
      <c r="I26" t="s">
        <v>1929</v>
      </c>
      <c r="J26" t="s">
        <v>1967</v>
      </c>
      <c r="K26">
        <v>30</v>
      </c>
      <c r="L26">
        <v>-1</v>
      </c>
      <c r="M26">
        <v>-1</v>
      </c>
      <c r="N26">
        <v>1</v>
      </c>
      <c r="O26">
        <v>-1</v>
      </c>
      <c r="P26" t="str">
        <f t="shared" si="1"/>
        <v>1d6</v>
      </c>
      <c r="Q26">
        <f t="shared" si="2"/>
        <v>2</v>
      </c>
      <c r="R26">
        <v>-1</v>
      </c>
      <c r="S26">
        <v>-1</v>
      </c>
      <c r="T26">
        <v>0</v>
      </c>
      <c r="U26">
        <v>0</v>
      </c>
      <c r="V26">
        <v>0</v>
      </c>
      <c r="W26">
        <v>0</v>
      </c>
      <c r="X26">
        <v>-1</v>
      </c>
      <c r="Y26">
        <v>-1</v>
      </c>
    </row>
    <row r="27" spans="2:25">
      <c r="B27" t="s">
        <v>1024</v>
      </c>
      <c r="C27" t="s">
        <v>619</v>
      </c>
      <c r="D27" t="s">
        <v>1759</v>
      </c>
      <c r="E27" t="s">
        <v>1926</v>
      </c>
      <c r="F27" t="s">
        <v>1961</v>
      </c>
      <c r="G27" t="s">
        <v>1968</v>
      </c>
      <c r="H27">
        <v>-4</v>
      </c>
      <c r="I27" t="s">
        <v>1929</v>
      </c>
      <c r="J27" t="s">
        <v>1969</v>
      </c>
      <c r="K27">
        <v>25</v>
      </c>
      <c r="L27">
        <v>-1</v>
      </c>
      <c r="M27">
        <v>-1</v>
      </c>
      <c r="N27">
        <v>1</v>
      </c>
      <c r="O27">
        <v>-1</v>
      </c>
      <c r="P27" t="str">
        <f t="shared" si="1"/>
        <v>2d6</v>
      </c>
      <c r="Q27">
        <f>IF(P27=G27,0,VALUE( SUBSTITUTE(G27,P27,"") ))</f>
        <v>-1</v>
      </c>
      <c r="R27">
        <v>-1</v>
      </c>
      <c r="S27">
        <v>-1</v>
      </c>
      <c r="T27">
        <v>0</v>
      </c>
      <c r="U27">
        <v>0</v>
      </c>
      <c r="V27">
        <v>0</v>
      </c>
      <c r="W27">
        <v>0</v>
      </c>
      <c r="X27">
        <v>-1</v>
      </c>
      <c r="Y27">
        <v>-1</v>
      </c>
    </row>
    <row r="28" spans="2:25">
      <c r="B28" t="s">
        <v>1060</v>
      </c>
      <c r="C28" t="s">
        <v>619</v>
      </c>
      <c r="D28" t="s">
        <v>1759</v>
      </c>
      <c r="E28" t="s">
        <v>1947</v>
      </c>
      <c r="F28" t="s">
        <v>1927</v>
      </c>
      <c r="G28" t="s">
        <v>1953</v>
      </c>
      <c r="H28">
        <v>1</v>
      </c>
      <c r="I28" t="s">
        <v>1929</v>
      </c>
      <c r="J28" t="s">
        <v>1943</v>
      </c>
      <c r="K28">
        <v>20</v>
      </c>
      <c r="L28">
        <v>-1</v>
      </c>
      <c r="M28">
        <v>-1</v>
      </c>
      <c r="N28">
        <v>-1</v>
      </c>
      <c r="O28">
        <v>2</v>
      </c>
      <c r="P28" t="str">
        <f t="shared" si="1"/>
        <v>1d6</v>
      </c>
      <c r="Q28">
        <f t="shared" si="2"/>
        <v>4</v>
      </c>
      <c r="R28">
        <v>-1</v>
      </c>
      <c r="S28">
        <v>-1</v>
      </c>
      <c r="T28">
        <v>0</v>
      </c>
      <c r="U28">
        <v>0</v>
      </c>
      <c r="V28">
        <v>0</v>
      </c>
      <c r="W28">
        <v>0</v>
      </c>
      <c r="X28">
        <v>-1</v>
      </c>
      <c r="Y28">
        <v>-1</v>
      </c>
    </row>
    <row r="29" spans="2:25">
      <c r="B29" t="s">
        <v>1093</v>
      </c>
      <c r="C29" t="s">
        <v>619</v>
      </c>
      <c r="D29" t="s">
        <v>1759</v>
      </c>
      <c r="E29" t="s">
        <v>1947</v>
      </c>
      <c r="F29" t="s">
        <v>1961</v>
      </c>
      <c r="G29" t="s">
        <v>1951</v>
      </c>
      <c r="H29">
        <v>1</v>
      </c>
      <c r="I29" t="s">
        <v>1929</v>
      </c>
      <c r="J29" t="s">
        <v>1970</v>
      </c>
      <c r="K29">
        <v>40</v>
      </c>
      <c r="L29">
        <v>-1</v>
      </c>
      <c r="M29">
        <v>-1</v>
      </c>
      <c r="N29">
        <v>2</v>
      </c>
      <c r="O29">
        <v>-1</v>
      </c>
      <c r="P29" t="str">
        <f t="shared" si="1"/>
        <v>2d6</v>
      </c>
      <c r="Q29">
        <f t="shared" si="2"/>
        <v>0</v>
      </c>
      <c r="R29">
        <v>-1</v>
      </c>
      <c r="S29">
        <v>-1</v>
      </c>
      <c r="T29">
        <v>0</v>
      </c>
      <c r="U29">
        <v>0</v>
      </c>
      <c r="V29">
        <v>0</v>
      </c>
      <c r="W29">
        <v>0</v>
      </c>
      <c r="X29">
        <v>-1</v>
      </c>
      <c r="Y29">
        <v>-1</v>
      </c>
    </row>
    <row r="30" spans="2:25">
      <c r="B30" t="s">
        <v>1125</v>
      </c>
      <c r="C30" t="s">
        <v>619</v>
      </c>
      <c r="D30" t="s">
        <v>1759</v>
      </c>
      <c r="E30" t="s">
        <v>1947</v>
      </c>
      <c r="F30" t="s">
        <v>1961</v>
      </c>
      <c r="G30" t="s">
        <v>1971</v>
      </c>
      <c r="H30">
        <v>1</v>
      </c>
      <c r="I30" t="s">
        <v>1929</v>
      </c>
      <c r="J30" t="s">
        <v>1972</v>
      </c>
      <c r="K30">
        <v>90</v>
      </c>
      <c r="L30">
        <v>-1</v>
      </c>
      <c r="M30">
        <v>-1</v>
      </c>
      <c r="N30">
        <v>4</v>
      </c>
      <c r="O30">
        <v>-1</v>
      </c>
      <c r="P30" t="str">
        <f t="shared" si="1"/>
        <v>3d6</v>
      </c>
      <c r="Q30">
        <f t="shared" si="2"/>
        <v>0</v>
      </c>
      <c r="R30">
        <v>-1</v>
      </c>
      <c r="S30">
        <v>-1</v>
      </c>
      <c r="T30">
        <v>0</v>
      </c>
      <c r="U30">
        <v>0</v>
      </c>
      <c r="V30">
        <v>0</v>
      </c>
      <c r="W30">
        <v>0</v>
      </c>
      <c r="X30">
        <v>-1</v>
      </c>
      <c r="Y30">
        <v>-1</v>
      </c>
    </row>
    <row r="31" spans="2:25">
      <c r="B31" t="s">
        <v>820</v>
      </c>
      <c r="C31" t="s">
        <v>625</v>
      </c>
      <c r="D31" t="s">
        <v>1751</v>
      </c>
      <c r="E31" t="s">
        <v>1947</v>
      </c>
      <c r="F31" t="s">
        <v>1927</v>
      </c>
      <c r="G31" t="s">
        <v>1936</v>
      </c>
      <c r="H31">
        <v>0</v>
      </c>
      <c r="I31" t="s">
        <v>1973</v>
      </c>
      <c r="J31" t="s">
        <v>1974</v>
      </c>
      <c r="K31">
        <v>40</v>
      </c>
      <c r="L31">
        <v>-1</v>
      </c>
      <c r="M31">
        <v>-1</v>
      </c>
      <c r="N31">
        <v>-1</v>
      </c>
      <c r="O31">
        <v>1</v>
      </c>
      <c r="P31" t="str">
        <f t="shared" si="1"/>
        <v>1d6</v>
      </c>
      <c r="Q31">
        <f t="shared" si="2"/>
        <v>0</v>
      </c>
      <c r="R31">
        <v>-1</v>
      </c>
      <c r="S31">
        <v>-1</v>
      </c>
      <c r="T31">
        <v>0</v>
      </c>
      <c r="U31">
        <v>0</v>
      </c>
      <c r="V31">
        <v>0</v>
      </c>
      <c r="W31">
        <v>0</v>
      </c>
      <c r="X31">
        <v>-1</v>
      </c>
      <c r="Y31">
        <v>-1</v>
      </c>
    </row>
    <row r="32" spans="2:25">
      <c r="B32" t="s">
        <v>864</v>
      </c>
      <c r="C32" t="s">
        <v>625</v>
      </c>
      <c r="D32" t="s">
        <v>1751</v>
      </c>
      <c r="E32" t="s">
        <v>1926</v>
      </c>
      <c r="F32" t="s">
        <v>1927</v>
      </c>
      <c r="G32" t="s">
        <v>1936</v>
      </c>
      <c r="H32">
        <v>4</v>
      </c>
      <c r="I32" t="s">
        <v>1973</v>
      </c>
      <c r="J32" t="s">
        <v>1975</v>
      </c>
      <c r="K32">
        <v>50</v>
      </c>
      <c r="L32">
        <v>-1</v>
      </c>
      <c r="M32">
        <v>-1</v>
      </c>
      <c r="N32">
        <v>-1</v>
      </c>
      <c r="O32">
        <v>1</v>
      </c>
      <c r="P32" t="str">
        <f t="shared" si="1"/>
        <v>1d6</v>
      </c>
      <c r="Q32">
        <f t="shared" si="2"/>
        <v>0</v>
      </c>
      <c r="R32">
        <v>-1</v>
      </c>
      <c r="S32">
        <v>-1</v>
      </c>
      <c r="T32">
        <v>0</v>
      </c>
      <c r="U32">
        <v>0</v>
      </c>
      <c r="V32">
        <v>0</v>
      </c>
      <c r="W32">
        <v>0</v>
      </c>
      <c r="X32">
        <v>-1</v>
      </c>
      <c r="Y32">
        <v>-1</v>
      </c>
    </row>
    <row r="33" spans="2:25">
      <c r="B33" t="s">
        <v>906</v>
      </c>
      <c r="C33" t="s">
        <v>625</v>
      </c>
      <c r="D33" t="s">
        <v>1759</v>
      </c>
      <c r="E33" t="s">
        <v>1947</v>
      </c>
      <c r="F33" t="s">
        <v>1927</v>
      </c>
      <c r="G33" t="s">
        <v>1944</v>
      </c>
      <c r="H33">
        <v>2</v>
      </c>
      <c r="I33" t="s">
        <v>1973</v>
      </c>
      <c r="J33" t="s">
        <v>1975</v>
      </c>
      <c r="K33">
        <v>40</v>
      </c>
      <c r="L33">
        <v>-1</v>
      </c>
      <c r="M33">
        <v>-1</v>
      </c>
      <c r="N33">
        <v>-1</v>
      </c>
      <c r="O33">
        <v>1</v>
      </c>
      <c r="P33" t="str">
        <f t="shared" si="1"/>
        <v>1d6</v>
      </c>
      <c r="Q33">
        <f t="shared" si="2"/>
        <v>3</v>
      </c>
      <c r="R33">
        <v>-1</v>
      </c>
      <c r="S33">
        <v>-1</v>
      </c>
      <c r="T33">
        <v>0</v>
      </c>
      <c r="U33">
        <v>0</v>
      </c>
      <c r="V33">
        <v>0</v>
      </c>
      <c r="W33">
        <v>0</v>
      </c>
      <c r="X33">
        <v>-1</v>
      </c>
      <c r="Y33">
        <v>-1</v>
      </c>
    </row>
    <row r="34" spans="2:25">
      <c r="B34" t="s">
        <v>948</v>
      </c>
      <c r="C34" t="s">
        <v>625</v>
      </c>
      <c r="D34" t="s">
        <v>1759</v>
      </c>
      <c r="E34" t="s">
        <v>1947</v>
      </c>
      <c r="F34" t="s">
        <v>1927</v>
      </c>
      <c r="G34" t="s">
        <v>1951</v>
      </c>
      <c r="H34">
        <v>0</v>
      </c>
      <c r="I34" t="s">
        <v>1976</v>
      </c>
      <c r="J34" t="s">
        <v>1977</v>
      </c>
      <c r="K34">
        <v>115</v>
      </c>
      <c r="L34">
        <v>-1</v>
      </c>
      <c r="M34">
        <v>-1</v>
      </c>
      <c r="N34">
        <v>-1</v>
      </c>
      <c r="O34">
        <v>1</v>
      </c>
      <c r="P34" t="str">
        <f t="shared" si="1"/>
        <v>2d6</v>
      </c>
      <c r="Q34">
        <f t="shared" si="2"/>
        <v>0</v>
      </c>
      <c r="R34">
        <v>-1</v>
      </c>
      <c r="S34">
        <v>-1</v>
      </c>
      <c r="T34">
        <v>0</v>
      </c>
      <c r="U34">
        <v>0</v>
      </c>
      <c r="V34">
        <v>0</v>
      </c>
      <c r="W34">
        <v>0</v>
      </c>
      <c r="X34">
        <v>-1</v>
      </c>
      <c r="Y34">
        <v>-1</v>
      </c>
    </row>
    <row r="35" spans="2:25">
      <c r="B35" t="s">
        <v>990</v>
      </c>
      <c r="C35" t="s">
        <v>625</v>
      </c>
      <c r="D35" t="s">
        <v>1759</v>
      </c>
      <c r="E35" t="s">
        <v>1947</v>
      </c>
      <c r="F35" t="s">
        <v>1927</v>
      </c>
      <c r="G35" t="s">
        <v>1948</v>
      </c>
      <c r="H35">
        <v>-2</v>
      </c>
      <c r="I35" t="s">
        <v>1976</v>
      </c>
      <c r="J35" t="s">
        <v>1978</v>
      </c>
      <c r="K35">
        <v>125</v>
      </c>
      <c r="L35">
        <v>-1</v>
      </c>
      <c r="M35">
        <v>-1</v>
      </c>
      <c r="N35">
        <v>-1</v>
      </c>
      <c r="O35">
        <v>2</v>
      </c>
      <c r="P35" t="str">
        <f t="shared" si="1"/>
        <v>2d6</v>
      </c>
      <c r="Q35">
        <f t="shared" si="2"/>
        <v>2</v>
      </c>
      <c r="R35">
        <v>-1</v>
      </c>
      <c r="S35">
        <v>-1</v>
      </c>
      <c r="T35">
        <v>0</v>
      </c>
      <c r="U35">
        <v>0</v>
      </c>
      <c r="V35">
        <v>0</v>
      </c>
      <c r="W35">
        <v>0</v>
      </c>
      <c r="X35">
        <v>-1</v>
      </c>
      <c r="Y35">
        <v>-1</v>
      </c>
    </row>
    <row r="36" spans="2:25">
      <c r="B36" t="s">
        <v>1025</v>
      </c>
      <c r="C36" t="s">
        <v>625</v>
      </c>
      <c r="D36" t="s">
        <v>1759</v>
      </c>
      <c r="E36" t="s">
        <v>1947</v>
      </c>
      <c r="F36" t="s">
        <v>1927</v>
      </c>
      <c r="G36" t="s">
        <v>1958</v>
      </c>
      <c r="H36">
        <v>2</v>
      </c>
      <c r="I36" t="s">
        <v>1976</v>
      </c>
      <c r="J36" t="s">
        <v>1979</v>
      </c>
      <c r="K36">
        <v>110</v>
      </c>
      <c r="L36">
        <v>-1</v>
      </c>
      <c r="M36">
        <v>-1</v>
      </c>
      <c r="N36">
        <v>-1</v>
      </c>
      <c r="O36">
        <v>2</v>
      </c>
      <c r="P36" t="str">
        <f t="shared" si="1"/>
        <v>2d6</v>
      </c>
      <c r="Q36">
        <f t="shared" si="2"/>
        <v>4</v>
      </c>
      <c r="R36">
        <v>-1</v>
      </c>
      <c r="S36">
        <v>-1</v>
      </c>
      <c r="T36">
        <v>0</v>
      </c>
      <c r="U36">
        <v>0</v>
      </c>
      <c r="V36">
        <v>0</v>
      </c>
      <c r="W36">
        <v>0</v>
      </c>
      <c r="X36">
        <v>-1</v>
      </c>
      <c r="Y36">
        <v>-1</v>
      </c>
    </row>
    <row r="37" spans="2:25">
      <c r="B37" t="s">
        <v>1061</v>
      </c>
      <c r="C37" t="s">
        <v>625</v>
      </c>
      <c r="D37" t="s">
        <v>1759</v>
      </c>
      <c r="E37" t="s">
        <v>1947</v>
      </c>
      <c r="F37" t="s">
        <v>1961</v>
      </c>
      <c r="G37" t="s">
        <v>1971</v>
      </c>
      <c r="H37">
        <v>4</v>
      </c>
      <c r="I37" t="s">
        <v>1973</v>
      </c>
      <c r="J37" t="s">
        <v>1980</v>
      </c>
      <c r="K37">
        <v>630</v>
      </c>
      <c r="L37">
        <v>-1</v>
      </c>
      <c r="M37">
        <v>-1</v>
      </c>
      <c r="N37">
        <v>-1</v>
      </c>
      <c r="O37">
        <v>-1</v>
      </c>
      <c r="P37" t="str">
        <f t="shared" si="1"/>
        <v>3d6</v>
      </c>
      <c r="Q37">
        <f t="shared" si="2"/>
        <v>0</v>
      </c>
      <c r="R37">
        <v>-1</v>
      </c>
      <c r="S37">
        <v>-1</v>
      </c>
      <c r="T37">
        <v>0</v>
      </c>
      <c r="U37">
        <v>0</v>
      </c>
      <c r="V37">
        <v>0</v>
      </c>
      <c r="W37">
        <v>0</v>
      </c>
      <c r="X37">
        <v>-1</v>
      </c>
      <c r="Y37">
        <v>-1</v>
      </c>
    </row>
    <row r="38" spans="2:25">
      <c r="B38" t="s">
        <v>821</v>
      </c>
      <c r="C38" t="s">
        <v>623</v>
      </c>
      <c r="D38" t="s">
        <v>1751</v>
      </c>
      <c r="E38" t="s">
        <v>1926</v>
      </c>
      <c r="F38" t="s">
        <v>1961</v>
      </c>
      <c r="G38" t="s">
        <v>1962</v>
      </c>
      <c r="H38">
        <v>0</v>
      </c>
      <c r="I38" t="s">
        <v>1981</v>
      </c>
      <c r="J38" t="s">
        <v>1982</v>
      </c>
      <c r="K38">
        <v>0</v>
      </c>
      <c r="L38">
        <v>-1</v>
      </c>
      <c r="M38">
        <v>-1</v>
      </c>
      <c r="N38">
        <v>-1</v>
      </c>
      <c r="O38">
        <v>-1</v>
      </c>
      <c r="P38" t="str">
        <f t="shared" si="1"/>
        <v>1d3</v>
      </c>
      <c r="Q38">
        <f t="shared" si="2"/>
        <v>0</v>
      </c>
      <c r="R38">
        <v>-1</v>
      </c>
      <c r="S38">
        <v>-1</v>
      </c>
      <c r="T38">
        <v>0</v>
      </c>
      <c r="U38">
        <v>0</v>
      </c>
      <c r="V38">
        <v>0</v>
      </c>
      <c r="W38">
        <v>0</v>
      </c>
      <c r="X38">
        <v>-1</v>
      </c>
      <c r="Y38">
        <v>-1</v>
      </c>
    </row>
    <row r="39" spans="2:25">
      <c r="B39" t="s">
        <v>865</v>
      </c>
      <c r="C39" t="s">
        <v>623</v>
      </c>
      <c r="D39" t="s">
        <v>1751</v>
      </c>
      <c r="E39" t="s">
        <v>1926</v>
      </c>
      <c r="F39" t="s">
        <v>1927</v>
      </c>
      <c r="G39" t="s">
        <v>1962</v>
      </c>
      <c r="H39">
        <v>0</v>
      </c>
      <c r="I39" t="s">
        <v>1981</v>
      </c>
      <c r="J39" t="s">
        <v>1982</v>
      </c>
      <c r="K39">
        <v>3</v>
      </c>
      <c r="L39">
        <v>-1</v>
      </c>
      <c r="M39">
        <v>-1</v>
      </c>
      <c r="N39">
        <v>-1</v>
      </c>
      <c r="O39">
        <v>-1</v>
      </c>
      <c r="P39" t="str">
        <f t="shared" si="1"/>
        <v>1d3</v>
      </c>
      <c r="Q39">
        <f t="shared" si="2"/>
        <v>0</v>
      </c>
      <c r="R39">
        <v>-1</v>
      </c>
      <c r="S39">
        <v>-1</v>
      </c>
      <c r="T39">
        <v>0</v>
      </c>
      <c r="U39">
        <v>0</v>
      </c>
      <c r="V39">
        <v>0</v>
      </c>
      <c r="W39">
        <v>0</v>
      </c>
      <c r="X39">
        <v>-1</v>
      </c>
      <c r="Y39">
        <v>-1</v>
      </c>
    </row>
    <row r="40" spans="2:25">
      <c r="B40" t="s">
        <v>907</v>
      </c>
      <c r="C40" t="s">
        <v>623</v>
      </c>
      <c r="D40" t="s">
        <v>1751</v>
      </c>
      <c r="E40" t="s">
        <v>1926</v>
      </c>
      <c r="F40" t="s">
        <v>1961</v>
      </c>
      <c r="G40" t="s">
        <v>1928</v>
      </c>
      <c r="H40">
        <v>0</v>
      </c>
      <c r="I40" t="s">
        <v>1983</v>
      </c>
      <c r="J40" t="s">
        <v>1984</v>
      </c>
      <c r="K40">
        <v>15</v>
      </c>
      <c r="L40">
        <v>-1</v>
      </c>
      <c r="M40">
        <v>-1</v>
      </c>
      <c r="N40">
        <v>-1</v>
      </c>
      <c r="O40">
        <v>-1</v>
      </c>
      <c r="P40" t="str">
        <f t="shared" si="1"/>
        <v>1d3</v>
      </c>
      <c r="Q40">
        <f t="shared" si="2"/>
        <v>1</v>
      </c>
      <c r="R40">
        <v>-1</v>
      </c>
      <c r="S40">
        <v>-1</v>
      </c>
      <c r="T40">
        <v>0</v>
      </c>
      <c r="U40">
        <v>0</v>
      </c>
      <c r="V40">
        <v>0</v>
      </c>
      <c r="W40">
        <v>0</v>
      </c>
      <c r="X40">
        <v>-1</v>
      </c>
      <c r="Y40">
        <v>-1</v>
      </c>
    </row>
    <row r="41" spans="2:25">
      <c r="B41" t="s">
        <v>949</v>
      </c>
      <c r="C41" t="s">
        <v>623</v>
      </c>
      <c r="D41" t="s">
        <v>1751</v>
      </c>
      <c r="E41" t="s">
        <v>1926</v>
      </c>
      <c r="F41" t="s">
        <v>1961</v>
      </c>
      <c r="G41" t="s">
        <v>1928</v>
      </c>
      <c r="H41">
        <v>0</v>
      </c>
      <c r="I41" t="s">
        <v>1985</v>
      </c>
      <c r="J41" t="s">
        <v>1986</v>
      </c>
      <c r="K41">
        <v>15</v>
      </c>
      <c r="L41">
        <v>-1</v>
      </c>
      <c r="M41">
        <v>-1</v>
      </c>
      <c r="N41">
        <v>0</v>
      </c>
      <c r="O41">
        <v>-1</v>
      </c>
      <c r="P41" t="str">
        <f t="shared" si="1"/>
        <v>1d3</v>
      </c>
      <c r="Q41">
        <f t="shared" si="2"/>
        <v>1</v>
      </c>
      <c r="R41">
        <v>-1</v>
      </c>
      <c r="S41">
        <v>-1</v>
      </c>
      <c r="T41">
        <v>0</v>
      </c>
      <c r="U41">
        <v>0</v>
      </c>
      <c r="V41">
        <v>0</v>
      </c>
      <c r="W41">
        <v>0</v>
      </c>
      <c r="X41">
        <v>-1</v>
      </c>
      <c r="Y41">
        <v>-1</v>
      </c>
    </row>
    <row r="42" spans="2:25">
      <c r="B42" t="s">
        <v>991</v>
      </c>
      <c r="C42" t="s">
        <v>623</v>
      </c>
      <c r="D42" t="s">
        <v>1751</v>
      </c>
      <c r="E42" t="s">
        <v>1926</v>
      </c>
      <c r="F42" t="s">
        <v>1961</v>
      </c>
      <c r="G42" t="s">
        <v>1928</v>
      </c>
      <c r="H42">
        <v>2</v>
      </c>
      <c r="I42" t="s">
        <v>1985</v>
      </c>
      <c r="J42" t="s">
        <v>1987</v>
      </c>
      <c r="K42">
        <v>1</v>
      </c>
      <c r="L42">
        <v>-1</v>
      </c>
      <c r="M42">
        <v>-1</v>
      </c>
      <c r="N42">
        <v>-1</v>
      </c>
      <c r="O42">
        <v>-1</v>
      </c>
      <c r="P42" t="str">
        <f t="shared" si="1"/>
        <v>1d3</v>
      </c>
      <c r="Q42">
        <f t="shared" si="2"/>
        <v>1</v>
      </c>
      <c r="R42">
        <v>-1</v>
      </c>
      <c r="S42">
        <v>-1</v>
      </c>
      <c r="T42">
        <v>0</v>
      </c>
      <c r="U42">
        <v>0</v>
      </c>
      <c r="V42">
        <v>0</v>
      </c>
      <c r="W42">
        <v>0</v>
      </c>
      <c r="X42">
        <v>-1</v>
      </c>
      <c r="Y42">
        <v>-1</v>
      </c>
    </row>
    <row r="43" spans="2:25">
      <c r="B43" t="s">
        <v>1026</v>
      </c>
      <c r="C43" t="s">
        <v>623</v>
      </c>
      <c r="D43" t="s">
        <v>1751</v>
      </c>
      <c r="E43" t="s">
        <v>1926</v>
      </c>
      <c r="F43" t="s">
        <v>1931</v>
      </c>
      <c r="G43" t="s">
        <v>1933</v>
      </c>
      <c r="H43">
        <v>0</v>
      </c>
      <c r="I43" t="s">
        <v>1983</v>
      </c>
      <c r="J43" t="s">
        <v>1988</v>
      </c>
      <c r="K43">
        <v>20</v>
      </c>
      <c r="L43">
        <v>-1</v>
      </c>
      <c r="M43">
        <v>-1</v>
      </c>
      <c r="N43">
        <v>-1</v>
      </c>
      <c r="O43">
        <v>1</v>
      </c>
      <c r="P43" t="str">
        <f t="shared" si="1"/>
        <v>1d3</v>
      </c>
      <c r="Q43">
        <f t="shared" si="2"/>
        <v>2</v>
      </c>
      <c r="R43">
        <v>-1</v>
      </c>
      <c r="S43">
        <v>-1</v>
      </c>
      <c r="T43">
        <v>0</v>
      </c>
      <c r="U43">
        <v>0</v>
      </c>
      <c r="V43">
        <v>0</v>
      </c>
      <c r="W43">
        <v>0</v>
      </c>
      <c r="X43">
        <v>-1</v>
      </c>
      <c r="Y43">
        <v>-1</v>
      </c>
    </row>
    <row r="44" spans="2:25">
      <c r="B44" t="s">
        <v>1062</v>
      </c>
      <c r="C44" t="s">
        <v>623</v>
      </c>
      <c r="D44" t="s">
        <v>1751</v>
      </c>
      <c r="E44" t="s">
        <v>1926</v>
      </c>
      <c r="F44" t="s">
        <v>1932</v>
      </c>
      <c r="G44" t="s">
        <v>1933</v>
      </c>
      <c r="H44">
        <v>2</v>
      </c>
      <c r="I44" t="s">
        <v>1983</v>
      </c>
      <c r="J44" t="s">
        <v>1989</v>
      </c>
      <c r="K44">
        <v>25</v>
      </c>
      <c r="L44">
        <v>-1</v>
      </c>
      <c r="M44">
        <v>-1</v>
      </c>
      <c r="N44">
        <v>-1</v>
      </c>
      <c r="O44">
        <v>-1</v>
      </c>
      <c r="P44" t="str">
        <f t="shared" si="1"/>
        <v>1d3</v>
      </c>
      <c r="Q44">
        <f t="shared" si="2"/>
        <v>2</v>
      </c>
      <c r="R44">
        <v>-1</v>
      </c>
      <c r="S44">
        <v>-1</v>
      </c>
      <c r="T44">
        <v>0</v>
      </c>
      <c r="U44">
        <v>0</v>
      </c>
      <c r="V44">
        <v>0</v>
      </c>
      <c r="W44">
        <v>0</v>
      </c>
      <c r="X44">
        <v>-1</v>
      </c>
      <c r="Y44">
        <v>-1</v>
      </c>
    </row>
    <row r="45" spans="2:25">
      <c r="B45" t="s">
        <v>1095</v>
      </c>
      <c r="C45" t="s">
        <v>623</v>
      </c>
      <c r="D45" t="s">
        <v>1751</v>
      </c>
      <c r="E45" t="s">
        <v>1926</v>
      </c>
      <c r="F45" t="s">
        <v>1931</v>
      </c>
      <c r="G45" t="s">
        <v>1936</v>
      </c>
      <c r="H45">
        <v>4</v>
      </c>
      <c r="I45" t="s">
        <v>1983</v>
      </c>
      <c r="J45" t="s">
        <v>1990</v>
      </c>
      <c r="K45">
        <v>40</v>
      </c>
      <c r="L45">
        <v>-1</v>
      </c>
      <c r="M45">
        <v>1</v>
      </c>
      <c r="N45">
        <v>-1</v>
      </c>
      <c r="O45">
        <v>1</v>
      </c>
      <c r="P45" t="str">
        <f t="shared" si="1"/>
        <v>1d6</v>
      </c>
      <c r="Q45">
        <f t="shared" si="2"/>
        <v>0</v>
      </c>
      <c r="R45">
        <v>-1</v>
      </c>
      <c r="S45">
        <v>-1</v>
      </c>
      <c r="T45">
        <v>0</v>
      </c>
      <c r="U45">
        <v>0</v>
      </c>
      <c r="V45">
        <v>0</v>
      </c>
      <c r="W45">
        <v>0</v>
      </c>
      <c r="X45">
        <v>-1</v>
      </c>
      <c r="Y45">
        <v>-1</v>
      </c>
    </row>
    <row r="46" spans="2:25">
      <c r="B46" t="s">
        <v>1126</v>
      </c>
      <c r="C46" t="s">
        <v>623</v>
      </c>
      <c r="D46" t="s">
        <v>1751</v>
      </c>
      <c r="E46" t="s">
        <v>1926</v>
      </c>
      <c r="F46" t="s">
        <v>1961</v>
      </c>
      <c r="G46" t="s">
        <v>1941</v>
      </c>
      <c r="H46">
        <v>2</v>
      </c>
      <c r="I46" t="s">
        <v>1973</v>
      </c>
      <c r="J46" t="s">
        <v>1991</v>
      </c>
      <c r="K46">
        <v>30</v>
      </c>
      <c r="L46">
        <v>-1</v>
      </c>
      <c r="M46">
        <v>-1</v>
      </c>
      <c r="N46">
        <v>2</v>
      </c>
      <c r="O46">
        <v>-1</v>
      </c>
      <c r="P46" t="str">
        <f t="shared" si="1"/>
        <v>1d6</v>
      </c>
      <c r="Q46">
        <f t="shared" si="2"/>
        <v>1</v>
      </c>
      <c r="R46">
        <v>-1</v>
      </c>
      <c r="S46">
        <v>-1</v>
      </c>
      <c r="T46">
        <v>0</v>
      </c>
      <c r="U46">
        <v>0</v>
      </c>
      <c r="V46">
        <v>0</v>
      </c>
      <c r="W46">
        <v>0</v>
      </c>
      <c r="X46">
        <v>-1</v>
      </c>
      <c r="Y46">
        <v>-1</v>
      </c>
    </row>
    <row r="47" spans="2:25">
      <c r="B47" t="s">
        <v>1155</v>
      </c>
      <c r="C47" t="s">
        <v>623</v>
      </c>
      <c r="D47" t="s">
        <v>1759</v>
      </c>
      <c r="E47" t="s">
        <v>1947</v>
      </c>
      <c r="F47" t="s">
        <v>1992</v>
      </c>
      <c r="G47" t="s">
        <v>1953</v>
      </c>
      <c r="H47">
        <v>-2</v>
      </c>
      <c r="I47" t="s">
        <v>1983</v>
      </c>
      <c r="J47" t="s">
        <v>1993</v>
      </c>
      <c r="K47">
        <v>70</v>
      </c>
      <c r="L47">
        <v>-1</v>
      </c>
      <c r="M47">
        <v>2</v>
      </c>
      <c r="N47">
        <v>-1</v>
      </c>
      <c r="O47">
        <v>-1</v>
      </c>
      <c r="P47" t="str">
        <f t="shared" si="1"/>
        <v>1d6</v>
      </c>
      <c r="Q47">
        <f t="shared" si="2"/>
        <v>4</v>
      </c>
      <c r="R47">
        <v>-1</v>
      </c>
      <c r="S47">
        <v>-1</v>
      </c>
      <c r="T47">
        <v>0</v>
      </c>
      <c r="U47">
        <v>0</v>
      </c>
      <c r="V47">
        <v>0</v>
      </c>
      <c r="W47">
        <v>0</v>
      </c>
      <c r="X47">
        <v>-1</v>
      </c>
      <c r="Y47">
        <v>-1</v>
      </c>
    </row>
    <row r="48" spans="2:25">
      <c r="B48" t="s">
        <v>822</v>
      </c>
      <c r="C48" t="s">
        <v>617</v>
      </c>
      <c r="D48" t="s">
        <v>1751</v>
      </c>
      <c r="E48" t="s">
        <v>1926</v>
      </c>
      <c r="F48" t="s">
        <v>1992</v>
      </c>
      <c r="G48" t="s">
        <v>1928</v>
      </c>
      <c r="H48">
        <v>-2</v>
      </c>
      <c r="I48" t="s">
        <v>1929</v>
      </c>
      <c r="J48" t="s">
        <v>1930</v>
      </c>
      <c r="K48">
        <v>5</v>
      </c>
      <c r="L48">
        <v>-1</v>
      </c>
      <c r="M48">
        <v>-1</v>
      </c>
      <c r="N48">
        <v>-1</v>
      </c>
      <c r="O48">
        <v>-1</v>
      </c>
      <c r="P48" t="str">
        <f t="shared" si="1"/>
        <v>1d3</v>
      </c>
      <c r="Q48">
        <f t="shared" si="2"/>
        <v>1</v>
      </c>
      <c r="R48">
        <v>-1</v>
      </c>
      <c r="S48">
        <v>-1</v>
      </c>
      <c r="T48">
        <v>0</v>
      </c>
      <c r="U48">
        <v>0</v>
      </c>
      <c r="V48">
        <v>0</v>
      </c>
      <c r="W48">
        <v>0</v>
      </c>
      <c r="X48">
        <v>-1</v>
      </c>
      <c r="Y48">
        <v>-1</v>
      </c>
    </row>
    <row r="49" spans="2:25">
      <c r="B49" t="s">
        <v>866</v>
      </c>
      <c r="C49" t="s">
        <v>617</v>
      </c>
      <c r="D49" t="s">
        <v>1751</v>
      </c>
      <c r="E49" t="s">
        <v>1926</v>
      </c>
      <c r="F49" t="s">
        <v>1992</v>
      </c>
      <c r="G49" t="s">
        <v>1962</v>
      </c>
      <c r="H49">
        <v>0</v>
      </c>
      <c r="I49" t="s">
        <v>1929</v>
      </c>
      <c r="J49" t="s">
        <v>1994</v>
      </c>
      <c r="K49">
        <v>15</v>
      </c>
      <c r="L49">
        <v>-1</v>
      </c>
      <c r="M49">
        <v>-1</v>
      </c>
      <c r="N49">
        <v>-1</v>
      </c>
      <c r="O49">
        <v>-1</v>
      </c>
      <c r="P49" t="str">
        <f t="shared" ref="P49" si="9">LEFT(G49,3)</f>
        <v>1d3</v>
      </c>
      <c r="Q49">
        <f t="shared" ref="Q49" si="10">IF(P49=G49,0,VALUE( SUBSTITUTE(G49,P49,"") ))</f>
        <v>0</v>
      </c>
      <c r="R49">
        <v>-1</v>
      </c>
      <c r="S49">
        <v>-1</v>
      </c>
      <c r="T49">
        <v>0</v>
      </c>
      <c r="U49">
        <v>0</v>
      </c>
      <c r="V49">
        <v>0</v>
      </c>
      <c r="W49">
        <v>0</v>
      </c>
      <c r="X49">
        <v>-1</v>
      </c>
      <c r="Y49">
        <v>-1</v>
      </c>
    </row>
    <row r="50" spans="2:25">
      <c r="B50" t="s">
        <v>908</v>
      </c>
      <c r="C50" t="s">
        <v>617</v>
      </c>
      <c r="D50" t="s">
        <v>1751</v>
      </c>
      <c r="E50" t="s">
        <v>1926</v>
      </c>
      <c r="F50" t="s">
        <v>1992</v>
      </c>
      <c r="G50" t="s">
        <v>1933</v>
      </c>
      <c r="H50">
        <v>0</v>
      </c>
      <c r="I50" t="s">
        <v>1929</v>
      </c>
      <c r="J50" t="s">
        <v>1930</v>
      </c>
      <c r="K50">
        <v>15</v>
      </c>
      <c r="L50">
        <v>-1</v>
      </c>
      <c r="M50">
        <v>-1</v>
      </c>
      <c r="N50">
        <v>-1</v>
      </c>
      <c r="O50">
        <v>-1</v>
      </c>
      <c r="P50" t="str">
        <f t="shared" ref="P50" si="11">LEFT(G50,3)</f>
        <v>1d3</v>
      </c>
      <c r="Q50">
        <f t="shared" ref="Q50" si="12">IF(P50=G50,0,VALUE( SUBSTITUTE(G50,P50,"") ))</f>
        <v>2</v>
      </c>
      <c r="R50">
        <v>-1</v>
      </c>
      <c r="S50">
        <v>-1</v>
      </c>
      <c r="T50">
        <v>0</v>
      </c>
      <c r="U50">
        <v>0</v>
      </c>
      <c r="V50">
        <v>0</v>
      </c>
      <c r="W50">
        <v>0</v>
      </c>
      <c r="X50">
        <v>-1</v>
      </c>
      <c r="Y50">
        <v>-1</v>
      </c>
    </row>
    <row r="51" spans="2:25">
      <c r="B51" t="s">
        <v>950</v>
      </c>
      <c r="C51" t="s">
        <v>617</v>
      </c>
      <c r="D51" t="s">
        <v>1751</v>
      </c>
      <c r="E51" t="s">
        <v>1926</v>
      </c>
      <c r="F51" t="s">
        <v>1992</v>
      </c>
      <c r="G51" t="s">
        <v>1933</v>
      </c>
      <c r="H51">
        <v>0</v>
      </c>
      <c r="I51" t="s">
        <v>1929</v>
      </c>
      <c r="J51" t="s">
        <v>1995</v>
      </c>
      <c r="K51">
        <v>30</v>
      </c>
      <c r="L51">
        <v>-1</v>
      </c>
      <c r="M51">
        <v>0</v>
      </c>
      <c r="N51">
        <v>-1</v>
      </c>
      <c r="O51">
        <v>-1</v>
      </c>
      <c r="P51" t="str">
        <f t="shared" ref="P51" si="13">LEFT(G51,3)</f>
        <v>1d3</v>
      </c>
      <c r="Q51">
        <f t="shared" ref="Q51" si="14">IF(P51=G51,0,VALUE( SUBSTITUTE(G51,P51,"") ))</f>
        <v>2</v>
      </c>
      <c r="R51">
        <v>-1</v>
      </c>
      <c r="S51">
        <v>-1</v>
      </c>
      <c r="T51">
        <v>0</v>
      </c>
      <c r="U51">
        <v>0</v>
      </c>
      <c r="V51">
        <v>0</v>
      </c>
      <c r="W51">
        <v>0</v>
      </c>
      <c r="X51">
        <v>-1</v>
      </c>
      <c r="Y51">
        <v>-1</v>
      </c>
    </row>
    <row r="52" spans="2:25">
      <c r="B52" t="s">
        <v>992</v>
      </c>
      <c r="C52" t="s">
        <v>617</v>
      </c>
      <c r="D52" t="s">
        <v>1759</v>
      </c>
      <c r="E52" t="s">
        <v>1926</v>
      </c>
      <c r="F52" t="s">
        <v>1996</v>
      </c>
      <c r="G52" t="s">
        <v>1941</v>
      </c>
      <c r="H52">
        <v>-4</v>
      </c>
      <c r="I52" t="s">
        <v>1929</v>
      </c>
      <c r="J52" t="s">
        <v>1997</v>
      </c>
      <c r="K52">
        <v>35</v>
      </c>
      <c r="L52">
        <v>-1</v>
      </c>
      <c r="M52">
        <v>1</v>
      </c>
      <c r="N52">
        <v>0</v>
      </c>
      <c r="O52">
        <v>-1</v>
      </c>
      <c r="P52" t="str">
        <f t="shared" ref="P52" si="15">LEFT(G52,3)</f>
        <v>1d6</v>
      </c>
      <c r="Q52">
        <f t="shared" ref="Q52" si="16">IF(P52=G52,0,VALUE( SUBSTITUTE(G52,P52,"") ))</f>
        <v>1</v>
      </c>
      <c r="R52">
        <v>-1</v>
      </c>
      <c r="S52">
        <v>-1</v>
      </c>
      <c r="T52">
        <v>0</v>
      </c>
      <c r="U52">
        <v>0</v>
      </c>
      <c r="V52">
        <v>0</v>
      </c>
      <c r="W52">
        <v>0</v>
      </c>
      <c r="X52">
        <v>-1</v>
      </c>
      <c r="Y52">
        <v>-1</v>
      </c>
    </row>
    <row r="53" spans="2:25">
      <c r="B53" t="s">
        <v>1027</v>
      </c>
      <c r="C53" t="s">
        <v>617</v>
      </c>
      <c r="D53" t="s">
        <v>1759</v>
      </c>
      <c r="E53" t="s">
        <v>1947</v>
      </c>
      <c r="F53" t="s">
        <v>1996</v>
      </c>
      <c r="G53" t="s">
        <v>1953</v>
      </c>
      <c r="H53">
        <v>0</v>
      </c>
      <c r="I53" t="s">
        <v>1929</v>
      </c>
      <c r="J53" t="s">
        <v>1998</v>
      </c>
      <c r="K53">
        <v>0</v>
      </c>
      <c r="L53">
        <v>-1</v>
      </c>
      <c r="M53">
        <v>2</v>
      </c>
      <c r="N53">
        <v>1</v>
      </c>
      <c r="O53">
        <v>-1</v>
      </c>
      <c r="P53" t="str">
        <f t="shared" ref="P53" si="17">LEFT(G53,3)</f>
        <v>1d6</v>
      </c>
      <c r="Q53">
        <f t="shared" ref="Q53" si="18">IF(P53=G53,0,VALUE( SUBSTITUTE(G53,P53,"") ))</f>
        <v>4</v>
      </c>
      <c r="R53">
        <v>-1</v>
      </c>
      <c r="S53">
        <v>-1</v>
      </c>
      <c r="T53">
        <v>0</v>
      </c>
      <c r="U53">
        <v>0</v>
      </c>
      <c r="V53">
        <v>0</v>
      </c>
      <c r="W53">
        <v>0</v>
      </c>
      <c r="X53">
        <v>-1</v>
      </c>
      <c r="Y53">
        <v>-1</v>
      </c>
    </row>
    <row r="54" spans="2:25">
      <c r="B54" t="s">
        <v>1063</v>
      </c>
      <c r="C54" t="s">
        <v>617</v>
      </c>
      <c r="D54" t="s">
        <v>1759</v>
      </c>
      <c r="E54" t="s">
        <v>1947</v>
      </c>
      <c r="F54" t="s">
        <v>1996</v>
      </c>
      <c r="G54" t="s">
        <v>1999</v>
      </c>
      <c r="H54">
        <v>-2</v>
      </c>
      <c r="I54" t="s">
        <v>1929</v>
      </c>
      <c r="J54" t="s">
        <v>2000</v>
      </c>
      <c r="K54">
        <v>40</v>
      </c>
      <c r="L54">
        <v>-1</v>
      </c>
      <c r="M54">
        <v>2</v>
      </c>
      <c r="N54">
        <v>2</v>
      </c>
      <c r="O54">
        <v>-1</v>
      </c>
      <c r="P54" t="str">
        <f t="shared" ref="P54" si="19">LEFT(G54,3)</f>
        <v>1d6</v>
      </c>
      <c r="Q54">
        <f t="shared" ref="Q54" si="20">IF(P54=G54,0,VALUE( SUBSTITUTE(G54,P54,"") ))</f>
        <v>6</v>
      </c>
      <c r="R54">
        <v>-1</v>
      </c>
      <c r="S54">
        <v>-1</v>
      </c>
      <c r="T54">
        <v>0</v>
      </c>
      <c r="U54">
        <v>0</v>
      </c>
      <c r="V54">
        <v>0</v>
      </c>
      <c r="W54">
        <v>0</v>
      </c>
      <c r="X54">
        <v>-1</v>
      </c>
      <c r="Y54">
        <v>-1</v>
      </c>
    </row>
    <row r="55" spans="2:25">
      <c r="B55" t="s">
        <v>1096</v>
      </c>
      <c r="C55" t="s">
        <v>617</v>
      </c>
      <c r="D55" t="s">
        <v>1759</v>
      </c>
      <c r="E55" t="s">
        <v>1947</v>
      </c>
      <c r="F55" t="s">
        <v>2001</v>
      </c>
      <c r="G55" t="s">
        <v>1971</v>
      </c>
      <c r="H55">
        <v>-4</v>
      </c>
      <c r="I55" t="s">
        <v>1929</v>
      </c>
      <c r="J55" t="s">
        <v>2002</v>
      </c>
      <c r="K55">
        <v>40</v>
      </c>
      <c r="L55">
        <v>1</v>
      </c>
      <c r="M55">
        <v>2</v>
      </c>
      <c r="N55">
        <v>-1</v>
      </c>
      <c r="O55">
        <v>1</v>
      </c>
      <c r="P55" t="str">
        <f t="shared" ref="P55:P56" si="21">LEFT(G55,3)</f>
        <v>3d6</v>
      </c>
      <c r="Q55">
        <f t="shared" ref="Q55:Q56" si="22">IF(P55=G55,0,VALUE( SUBSTITUTE(G55,P55,"") ))</f>
        <v>0</v>
      </c>
      <c r="R55">
        <v>-1</v>
      </c>
      <c r="S55">
        <v>-1</v>
      </c>
      <c r="T55">
        <v>0</v>
      </c>
      <c r="U55">
        <v>0</v>
      </c>
      <c r="V55">
        <v>0</v>
      </c>
      <c r="W55">
        <v>0</v>
      </c>
      <c r="X55">
        <v>-1</v>
      </c>
      <c r="Y55">
        <v>-1</v>
      </c>
    </row>
    <row r="56" spans="2:25">
      <c r="B56" t="s">
        <v>823</v>
      </c>
      <c r="C56" t="s">
        <v>618</v>
      </c>
      <c r="D56" t="s">
        <v>1751</v>
      </c>
      <c r="E56" t="s">
        <v>1926</v>
      </c>
      <c r="F56" t="s">
        <v>1927</v>
      </c>
      <c r="G56" t="s">
        <v>1928</v>
      </c>
      <c r="H56">
        <v>-2</v>
      </c>
      <c r="I56" t="s">
        <v>1929</v>
      </c>
      <c r="J56" t="s">
        <v>1930</v>
      </c>
      <c r="K56">
        <v>5</v>
      </c>
      <c r="L56">
        <v>-1</v>
      </c>
      <c r="M56">
        <v>-1</v>
      </c>
      <c r="N56">
        <v>-1</v>
      </c>
      <c r="O56">
        <v>-1</v>
      </c>
      <c r="P56" t="str">
        <f t="shared" si="21"/>
        <v>1d3</v>
      </c>
      <c r="Q56">
        <f t="shared" si="22"/>
        <v>1</v>
      </c>
      <c r="R56">
        <v>-1</v>
      </c>
      <c r="S56">
        <v>-1</v>
      </c>
      <c r="T56">
        <v>0</v>
      </c>
      <c r="U56">
        <v>0</v>
      </c>
      <c r="V56">
        <v>0</v>
      </c>
      <c r="W56">
        <v>0</v>
      </c>
      <c r="X56">
        <v>-1</v>
      </c>
      <c r="Y56">
        <v>-1</v>
      </c>
    </row>
    <row r="57" spans="2:25">
      <c r="B57" t="s">
        <v>867</v>
      </c>
      <c r="C57" t="s">
        <v>618</v>
      </c>
      <c r="D57" t="s">
        <v>1751</v>
      </c>
      <c r="E57" t="s">
        <v>1926</v>
      </c>
      <c r="F57" t="s">
        <v>1927</v>
      </c>
      <c r="G57" t="s">
        <v>1928</v>
      </c>
      <c r="H57">
        <v>-2</v>
      </c>
      <c r="I57" t="s">
        <v>1929</v>
      </c>
      <c r="J57" t="s">
        <v>2003</v>
      </c>
      <c r="K57">
        <v>20</v>
      </c>
      <c r="L57">
        <v>-1</v>
      </c>
      <c r="M57">
        <v>-1</v>
      </c>
      <c r="N57">
        <v>-1</v>
      </c>
      <c r="O57">
        <v>-1</v>
      </c>
      <c r="P57" t="str">
        <f t="shared" ref="P57:P58" si="23">LEFT(G57,3)</f>
        <v>1d3</v>
      </c>
      <c r="Q57">
        <f t="shared" ref="Q57:Q58" si="24">IF(P57=G57,0,VALUE( SUBSTITUTE(G57,P57,"") ))</f>
        <v>1</v>
      </c>
      <c r="R57">
        <v>-1</v>
      </c>
      <c r="S57">
        <v>-1</v>
      </c>
      <c r="T57">
        <v>0</v>
      </c>
      <c r="U57">
        <v>0</v>
      </c>
      <c r="V57">
        <v>0</v>
      </c>
      <c r="W57">
        <v>0</v>
      </c>
      <c r="X57">
        <v>-1</v>
      </c>
      <c r="Y57">
        <v>-1</v>
      </c>
    </row>
    <row r="58" spans="2:25">
      <c r="B58" t="s">
        <v>909</v>
      </c>
      <c r="C58" t="s">
        <v>618</v>
      </c>
      <c r="D58" t="s">
        <v>1751</v>
      </c>
      <c r="E58" t="s">
        <v>1926</v>
      </c>
      <c r="F58" t="s">
        <v>1927</v>
      </c>
      <c r="G58" t="s">
        <v>1936</v>
      </c>
      <c r="H58">
        <v>0</v>
      </c>
      <c r="I58" t="s">
        <v>1929</v>
      </c>
      <c r="J58" t="s">
        <v>1966</v>
      </c>
      <c r="K58">
        <v>15</v>
      </c>
      <c r="L58">
        <v>-1</v>
      </c>
      <c r="M58">
        <v>-1</v>
      </c>
      <c r="N58">
        <v>-1</v>
      </c>
      <c r="O58">
        <v>1</v>
      </c>
      <c r="P58" t="str">
        <f t="shared" si="23"/>
        <v>1d6</v>
      </c>
      <c r="Q58">
        <f t="shared" si="24"/>
        <v>0</v>
      </c>
      <c r="R58">
        <v>-1</v>
      </c>
      <c r="S58">
        <v>-1</v>
      </c>
      <c r="T58">
        <v>0</v>
      </c>
      <c r="U58">
        <v>0</v>
      </c>
      <c r="V58">
        <v>0</v>
      </c>
      <c r="W58">
        <v>0</v>
      </c>
      <c r="X58">
        <v>-1</v>
      </c>
      <c r="Y58">
        <v>-1</v>
      </c>
    </row>
    <row r="59" spans="2:25">
      <c r="B59" t="s">
        <v>951</v>
      </c>
      <c r="C59" t="s">
        <v>618</v>
      </c>
      <c r="D59" t="s">
        <v>1751</v>
      </c>
      <c r="E59" t="s">
        <v>1926</v>
      </c>
      <c r="F59" t="s">
        <v>1927</v>
      </c>
      <c r="G59" t="s">
        <v>1936</v>
      </c>
      <c r="H59">
        <v>-4</v>
      </c>
      <c r="I59" t="s">
        <v>1929</v>
      </c>
      <c r="J59" t="s">
        <v>1966</v>
      </c>
      <c r="K59">
        <v>30</v>
      </c>
      <c r="L59">
        <v>-1</v>
      </c>
      <c r="M59">
        <v>-1</v>
      </c>
      <c r="N59">
        <v>-1</v>
      </c>
      <c r="O59">
        <v>1</v>
      </c>
      <c r="P59" t="str">
        <f t="shared" ref="P59" si="25">LEFT(G59,3)</f>
        <v>1d6</v>
      </c>
      <c r="Q59">
        <f t="shared" ref="Q59" si="26">IF(P59=G59,0,VALUE( SUBSTITUTE(G59,P59,"") ))</f>
        <v>0</v>
      </c>
      <c r="R59">
        <v>-1</v>
      </c>
      <c r="S59">
        <v>-1</v>
      </c>
      <c r="T59">
        <v>0</v>
      </c>
      <c r="U59">
        <v>0</v>
      </c>
      <c r="V59">
        <v>0</v>
      </c>
      <c r="W59">
        <v>0</v>
      </c>
      <c r="X59">
        <v>-1</v>
      </c>
      <c r="Y59">
        <v>-1</v>
      </c>
    </row>
    <row r="60" spans="2:25">
      <c r="B60" t="s">
        <v>993</v>
      </c>
      <c r="C60" t="s">
        <v>618</v>
      </c>
      <c r="D60" t="s">
        <v>1751</v>
      </c>
      <c r="E60" t="s">
        <v>1947</v>
      </c>
      <c r="F60" t="s">
        <v>1927</v>
      </c>
      <c r="G60" t="s">
        <v>1944</v>
      </c>
      <c r="H60">
        <v>0</v>
      </c>
      <c r="I60" t="s">
        <v>1929</v>
      </c>
      <c r="J60" t="s">
        <v>2004</v>
      </c>
      <c r="K60">
        <v>0</v>
      </c>
      <c r="L60">
        <v>0</v>
      </c>
      <c r="M60">
        <v>-1</v>
      </c>
      <c r="N60">
        <v>-1</v>
      </c>
      <c r="O60">
        <v>1</v>
      </c>
      <c r="P60" t="str">
        <f t="shared" ref="P60:P61" si="27">LEFT(G60,3)</f>
        <v>1d6</v>
      </c>
      <c r="Q60">
        <f t="shared" ref="Q60:Q61" si="28">IF(P60=G60,0,VALUE( SUBSTITUTE(G60,P60,"") ))</f>
        <v>3</v>
      </c>
      <c r="R60">
        <v>-1</v>
      </c>
      <c r="S60">
        <v>-1</v>
      </c>
      <c r="T60">
        <v>0</v>
      </c>
      <c r="U60">
        <v>0</v>
      </c>
      <c r="V60">
        <v>0</v>
      </c>
      <c r="W60">
        <v>0</v>
      </c>
      <c r="X60">
        <v>-1</v>
      </c>
      <c r="Y60">
        <v>-1</v>
      </c>
    </row>
    <row r="61" spans="2:25">
      <c r="B61" t="s">
        <v>1028</v>
      </c>
      <c r="C61" t="s">
        <v>618</v>
      </c>
      <c r="D61" t="s">
        <v>1759</v>
      </c>
      <c r="E61" t="s">
        <v>1926</v>
      </c>
      <c r="F61" t="s">
        <v>2005</v>
      </c>
      <c r="G61" t="s">
        <v>1941</v>
      </c>
      <c r="H61">
        <v>-4</v>
      </c>
      <c r="I61" t="s">
        <v>1929</v>
      </c>
      <c r="J61" t="s">
        <v>2006</v>
      </c>
      <c r="K61">
        <v>55</v>
      </c>
      <c r="L61">
        <v>-1</v>
      </c>
      <c r="M61">
        <v>-1</v>
      </c>
      <c r="N61">
        <v>0</v>
      </c>
      <c r="O61">
        <v>1</v>
      </c>
      <c r="P61" t="str">
        <f t="shared" si="27"/>
        <v>1d6</v>
      </c>
      <c r="Q61">
        <f t="shared" si="28"/>
        <v>1</v>
      </c>
      <c r="R61">
        <v>-1</v>
      </c>
      <c r="S61">
        <v>-1</v>
      </c>
      <c r="T61">
        <v>0</v>
      </c>
      <c r="U61">
        <v>0</v>
      </c>
      <c r="V61">
        <v>0</v>
      </c>
      <c r="W61">
        <v>0</v>
      </c>
      <c r="X61">
        <v>-1</v>
      </c>
      <c r="Y61">
        <v>-1</v>
      </c>
    </row>
    <row r="62" spans="2:25">
      <c r="B62" t="s">
        <v>1064</v>
      </c>
      <c r="C62" t="s">
        <v>618</v>
      </c>
      <c r="D62" t="s">
        <v>1759</v>
      </c>
      <c r="E62" t="s">
        <v>1947</v>
      </c>
      <c r="F62" t="s">
        <v>2005</v>
      </c>
      <c r="G62" t="s">
        <v>1953</v>
      </c>
      <c r="H62">
        <v>0</v>
      </c>
      <c r="I62" t="s">
        <v>1929</v>
      </c>
      <c r="J62" t="s">
        <v>2007</v>
      </c>
      <c r="K62">
        <v>0</v>
      </c>
      <c r="L62">
        <v>1</v>
      </c>
      <c r="M62">
        <v>-1</v>
      </c>
      <c r="N62">
        <v>1</v>
      </c>
      <c r="O62">
        <v>1</v>
      </c>
      <c r="P62" t="str">
        <f t="shared" ref="P62" si="29">LEFT(G62,3)</f>
        <v>1d6</v>
      </c>
      <c r="Q62">
        <f t="shared" ref="Q62" si="30">IF(P62=G62,0,VALUE( SUBSTITUTE(G62,P62,"") ))</f>
        <v>4</v>
      </c>
      <c r="R62">
        <v>-1</v>
      </c>
      <c r="S62">
        <v>-1</v>
      </c>
      <c r="T62">
        <v>0</v>
      </c>
      <c r="U62">
        <v>0</v>
      </c>
      <c r="V62">
        <v>0</v>
      </c>
      <c r="W62">
        <v>0</v>
      </c>
      <c r="X62">
        <v>-1</v>
      </c>
      <c r="Y62">
        <v>-1</v>
      </c>
    </row>
    <row r="63" spans="2:25">
      <c r="B63" t="s">
        <v>1097</v>
      </c>
      <c r="C63" t="s">
        <v>618</v>
      </c>
      <c r="D63" t="s">
        <v>1759</v>
      </c>
      <c r="E63" t="s">
        <v>1947</v>
      </c>
      <c r="F63" t="s">
        <v>2005</v>
      </c>
      <c r="G63" t="s">
        <v>1968</v>
      </c>
      <c r="H63">
        <v>-2</v>
      </c>
      <c r="I63" t="s">
        <v>1929</v>
      </c>
      <c r="J63" t="s">
        <v>2008</v>
      </c>
      <c r="K63">
        <v>15</v>
      </c>
      <c r="L63">
        <v>-1</v>
      </c>
      <c r="M63">
        <v>-1</v>
      </c>
      <c r="N63">
        <v>-1</v>
      </c>
      <c r="O63">
        <v>1</v>
      </c>
      <c r="P63" t="str">
        <f t="shared" ref="P63" si="31">LEFT(G63,3)</f>
        <v>2d6</v>
      </c>
      <c r="Q63">
        <f t="shared" ref="Q63" si="32">IF(P63=G63,0,VALUE( SUBSTITUTE(G63,P63,"") ))</f>
        <v>-1</v>
      </c>
      <c r="R63">
        <v>-1</v>
      </c>
      <c r="S63">
        <v>-1</v>
      </c>
      <c r="T63">
        <v>0</v>
      </c>
      <c r="U63">
        <v>0</v>
      </c>
      <c r="V63">
        <v>0</v>
      </c>
      <c r="W63">
        <v>0</v>
      </c>
      <c r="X63">
        <v>-1</v>
      </c>
      <c r="Y63">
        <v>-1</v>
      </c>
    </row>
    <row r="64" spans="2:25">
      <c r="B64" t="s">
        <v>1127</v>
      </c>
      <c r="C64" t="s">
        <v>618</v>
      </c>
      <c r="D64" t="s">
        <v>1759</v>
      </c>
      <c r="E64" t="s">
        <v>1947</v>
      </c>
      <c r="F64" t="s">
        <v>2005</v>
      </c>
      <c r="G64" t="s">
        <v>2009</v>
      </c>
      <c r="H64">
        <v>-2</v>
      </c>
      <c r="I64" t="s">
        <v>1929</v>
      </c>
      <c r="J64" t="s">
        <v>2008</v>
      </c>
      <c r="K64">
        <v>35</v>
      </c>
      <c r="L64">
        <v>-1</v>
      </c>
      <c r="M64">
        <v>-1</v>
      </c>
      <c r="N64">
        <v>-1</v>
      </c>
      <c r="O64">
        <v>1</v>
      </c>
      <c r="P64" t="str">
        <f t="shared" ref="P64" si="33">LEFT(G64,3)</f>
        <v>3d6</v>
      </c>
      <c r="Q64">
        <f t="shared" ref="Q64" si="34">IF(P64=G64,0,VALUE( SUBSTITUTE(G64,P64,"") ))</f>
        <v>-2</v>
      </c>
      <c r="R64">
        <v>-1</v>
      </c>
      <c r="S64">
        <v>-1</v>
      </c>
      <c r="T64">
        <v>0</v>
      </c>
      <c r="U64">
        <v>0</v>
      </c>
      <c r="V64">
        <v>0</v>
      </c>
      <c r="W64">
        <v>0</v>
      </c>
      <c r="X64">
        <v>-1</v>
      </c>
      <c r="Y64">
        <v>-1</v>
      </c>
    </row>
    <row r="65" spans="2:25">
      <c r="B65" t="s">
        <v>1156</v>
      </c>
      <c r="C65" t="s">
        <v>618</v>
      </c>
      <c r="D65" t="s">
        <v>1759</v>
      </c>
      <c r="E65" t="s">
        <v>1947</v>
      </c>
      <c r="F65" t="s">
        <v>2005</v>
      </c>
      <c r="G65" t="s">
        <v>1971</v>
      </c>
      <c r="H65">
        <v>-4</v>
      </c>
      <c r="I65" t="s">
        <v>1929</v>
      </c>
      <c r="J65" t="s">
        <v>2010</v>
      </c>
      <c r="K65">
        <v>55</v>
      </c>
      <c r="L65">
        <v>-1</v>
      </c>
      <c r="M65">
        <v>-1</v>
      </c>
      <c r="N65">
        <v>-1</v>
      </c>
      <c r="O65">
        <v>2</v>
      </c>
      <c r="P65" t="str">
        <f t="shared" ref="P65" si="35">LEFT(G65,3)</f>
        <v>3d6</v>
      </c>
      <c r="Q65">
        <f t="shared" ref="Q65" si="36">IF(P65=G65,0,VALUE( SUBSTITUTE(G65,P65,"") ))</f>
        <v>0</v>
      </c>
      <c r="R65">
        <v>-1</v>
      </c>
      <c r="S65">
        <v>-1</v>
      </c>
      <c r="T65">
        <v>0</v>
      </c>
      <c r="U65">
        <v>0</v>
      </c>
      <c r="V65">
        <v>0</v>
      </c>
      <c r="W65">
        <v>0</v>
      </c>
      <c r="X65">
        <v>-1</v>
      </c>
      <c r="Y65">
        <v>-1</v>
      </c>
    </row>
    <row r="66" spans="2:25">
      <c r="B66" t="s">
        <v>1179</v>
      </c>
      <c r="C66" t="s">
        <v>618</v>
      </c>
      <c r="D66" t="s">
        <v>1759</v>
      </c>
      <c r="E66" t="s">
        <v>1947</v>
      </c>
      <c r="F66" t="s">
        <v>2011</v>
      </c>
      <c r="G66" t="s">
        <v>1958</v>
      </c>
      <c r="H66">
        <v>-4</v>
      </c>
      <c r="I66" t="s">
        <v>1929</v>
      </c>
      <c r="J66" t="s">
        <v>2012</v>
      </c>
      <c r="K66">
        <v>70</v>
      </c>
      <c r="L66">
        <v>1</v>
      </c>
      <c r="M66">
        <v>3</v>
      </c>
      <c r="N66">
        <v>-1</v>
      </c>
      <c r="O66">
        <v>-1</v>
      </c>
      <c r="P66" t="str">
        <f t="shared" ref="P66:P68" si="37">LEFT(G66,3)</f>
        <v>2d6</v>
      </c>
      <c r="Q66">
        <f t="shared" ref="Q66:Q68" si="38">IF(P66=G66,0,VALUE( SUBSTITUTE(G66,P66,"") ))</f>
        <v>4</v>
      </c>
      <c r="R66">
        <v>-1</v>
      </c>
      <c r="S66">
        <v>-1</v>
      </c>
      <c r="T66">
        <v>0</v>
      </c>
      <c r="U66">
        <v>0</v>
      </c>
      <c r="V66">
        <v>0</v>
      </c>
      <c r="W66">
        <v>0</v>
      </c>
      <c r="X66">
        <v>-1</v>
      </c>
      <c r="Y66">
        <v>-1</v>
      </c>
    </row>
    <row r="67" spans="2:25">
      <c r="B67" t="s">
        <v>1202</v>
      </c>
      <c r="C67" t="s">
        <v>618</v>
      </c>
      <c r="D67" t="s">
        <v>1759</v>
      </c>
      <c r="E67" t="s">
        <v>1947</v>
      </c>
      <c r="F67" t="s">
        <v>2005</v>
      </c>
      <c r="G67" t="s">
        <v>2013</v>
      </c>
      <c r="H67">
        <v>-6</v>
      </c>
      <c r="I67" t="s">
        <v>1929</v>
      </c>
      <c r="J67" t="s">
        <v>2014</v>
      </c>
      <c r="K67">
        <v>40</v>
      </c>
      <c r="L67">
        <v>-1</v>
      </c>
      <c r="M67">
        <v>-1</v>
      </c>
      <c r="N67">
        <v>0</v>
      </c>
      <c r="O67">
        <v>2</v>
      </c>
      <c r="P67" t="str">
        <f t="shared" si="37"/>
        <v>3d6</v>
      </c>
      <c r="Q67">
        <f t="shared" si="38"/>
        <v>2</v>
      </c>
      <c r="R67">
        <v>-1</v>
      </c>
      <c r="S67">
        <v>-1</v>
      </c>
      <c r="T67">
        <v>0</v>
      </c>
      <c r="U67">
        <v>0</v>
      </c>
      <c r="V67">
        <v>0</v>
      </c>
      <c r="W67">
        <v>0</v>
      </c>
      <c r="X67">
        <v>-1</v>
      </c>
      <c r="Y67">
        <v>-1</v>
      </c>
    </row>
    <row r="68" spans="2:25">
      <c r="B68" t="s">
        <v>824</v>
      </c>
      <c r="C68" t="s">
        <v>620</v>
      </c>
      <c r="D68" t="s">
        <v>1751</v>
      </c>
      <c r="E68" t="s">
        <v>1947</v>
      </c>
      <c r="F68" t="s">
        <v>1961</v>
      </c>
      <c r="G68" t="s">
        <v>1928</v>
      </c>
      <c r="H68">
        <v>1</v>
      </c>
      <c r="I68" t="s">
        <v>1929</v>
      </c>
      <c r="J68" t="s">
        <v>788</v>
      </c>
      <c r="K68">
        <v>0</v>
      </c>
      <c r="L68">
        <v>-1</v>
      </c>
      <c r="M68">
        <v>-1</v>
      </c>
      <c r="N68">
        <v>-1</v>
      </c>
      <c r="O68">
        <v>-1</v>
      </c>
      <c r="P68" t="str">
        <f t="shared" si="37"/>
        <v>1d3</v>
      </c>
      <c r="Q68">
        <f t="shared" si="38"/>
        <v>1</v>
      </c>
      <c r="R68">
        <v>-1</v>
      </c>
      <c r="S68">
        <v>-1</v>
      </c>
      <c r="T68">
        <v>0</v>
      </c>
      <c r="U68">
        <v>0</v>
      </c>
      <c r="V68">
        <v>0</v>
      </c>
      <c r="W68">
        <v>0</v>
      </c>
      <c r="X68">
        <v>-1</v>
      </c>
      <c r="Y68">
        <v>-1</v>
      </c>
    </row>
    <row r="69" spans="2:25">
      <c r="B69" t="s">
        <v>868</v>
      </c>
      <c r="C69" t="s">
        <v>620</v>
      </c>
      <c r="D69" t="s">
        <v>1751</v>
      </c>
      <c r="E69" t="s">
        <v>1947</v>
      </c>
      <c r="F69" t="s">
        <v>1961</v>
      </c>
      <c r="G69" t="s">
        <v>1928</v>
      </c>
      <c r="H69">
        <v>1</v>
      </c>
      <c r="I69" t="s">
        <v>1929</v>
      </c>
      <c r="J69" t="s">
        <v>2015</v>
      </c>
      <c r="K69">
        <v>50</v>
      </c>
      <c r="L69">
        <v>1</v>
      </c>
      <c r="M69">
        <v>-1</v>
      </c>
      <c r="N69">
        <v>-1</v>
      </c>
      <c r="O69">
        <v>-1</v>
      </c>
      <c r="P69" t="str">
        <f t="shared" ref="P69" si="39">LEFT(G69,3)</f>
        <v>1d3</v>
      </c>
      <c r="Q69">
        <f t="shared" ref="Q69" si="40">IF(P69=G69,0,VALUE( SUBSTITUTE(G69,P69,"") ))</f>
        <v>1</v>
      </c>
      <c r="R69">
        <v>1</v>
      </c>
      <c r="S69">
        <v>-1</v>
      </c>
      <c r="T69">
        <v>0</v>
      </c>
      <c r="U69">
        <v>0</v>
      </c>
      <c r="V69">
        <v>0</v>
      </c>
      <c r="W69">
        <v>0</v>
      </c>
      <c r="X69">
        <v>-1</v>
      </c>
      <c r="Y69">
        <v>-1</v>
      </c>
    </row>
    <row r="70" spans="2:25">
      <c r="B70" t="s">
        <v>910</v>
      </c>
      <c r="C70" t="s">
        <v>620</v>
      </c>
      <c r="D70" t="s">
        <v>1751</v>
      </c>
      <c r="E70" t="s">
        <v>1947</v>
      </c>
      <c r="F70" t="s">
        <v>1961</v>
      </c>
      <c r="G70" t="s">
        <v>1928</v>
      </c>
      <c r="H70">
        <v>1</v>
      </c>
      <c r="I70" t="s">
        <v>1929</v>
      </c>
      <c r="J70" t="s">
        <v>2016</v>
      </c>
      <c r="K70">
        <v>50</v>
      </c>
      <c r="L70">
        <v>1</v>
      </c>
      <c r="M70">
        <v>-1</v>
      </c>
      <c r="N70">
        <v>-1</v>
      </c>
      <c r="O70">
        <v>-1</v>
      </c>
      <c r="P70" t="str">
        <f t="shared" ref="P70" si="41">LEFT(G70,3)</f>
        <v>1d3</v>
      </c>
      <c r="Q70">
        <f t="shared" ref="Q70" si="42">IF(P70=G70,0,VALUE( SUBSTITUTE(G70,P70,"") ))</f>
        <v>1</v>
      </c>
      <c r="R70">
        <v>-1</v>
      </c>
      <c r="S70">
        <v>1</v>
      </c>
      <c r="T70">
        <v>0</v>
      </c>
      <c r="U70">
        <v>0</v>
      </c>
      <c r="V70">
        <v>0</v>
      </c>
      <c r="W70">
        <v>0</v>
      </c>
      <c r="X70">
        <v>-1</v>
      </c>
      <c r="Y70">
        <v>-1</v>
      </c>
    </row>
    <row r="71" spans="2:25">
      <c r="B71" t="s">
        <v>952</v>
      </c>
      <c r="C71" t="s">
        <v>620</v>
      </c>
      <c r="D71" t="s">
        <v>1751</v>
      </c>
      <c r="E71" t="s">
        <v>1947</v>
      </c>
      <c r="F71" t="s">
        <v>1961</v>
      </c>
      <c r="G71" t="s">
        <v>1928</v>
      </c>
      <c r="H71">
        <v>1</v>
      </c>
      <c r="I71" t="s">
        <v>1929</v>
      </c>
      <c r="J71" t="s">
        <v>2017</v>
      </c>
      <c r="K71">
        <v>180</v>
      </c>
      <c r="L71">
        <v>1</v>
      </c>
      <c r="M71">
        <v>-1</v>
      </c>
      <c r="N71">
        <v>-1</v>
      </c>
      <c r="O71">
        <v>-1</v>
      </c>
      <c r="P71" t="str">
        <f t="shared" ref="P71:P72" si="43">LEFT(G71,3)</f>
        <v>1d3</v>
      </c>
      <c r="Q71">
        <f t="shared" ref="Q71:Q72" si="44">IF(P71=G71,0,VALUE( SUBSTITUTE(G71,P71,"") ))</f>
        <v>1</v>
      </c>
      <c r="R71">
        <v>-1</v>
      </c>
      <c r="S71">
        <v>2</v>
      </c>
      <c r="T71">
        <v>0</v>
      </c>
      <c r="U71">
        <v>0</v>
      </c>
      <c r="V71">
        <v>0</v>
      </c>
      <c r="W71">
        <v>0</v>
      </c>
      <c r="X71">
        <v>-1</v>
      </c>
      <c r="Y71">
        <v>-1</v>
      </c>
    </row>
    <row r="72" spans="2:25">
      <c r="B72" t="s">
        <v>994</v>
      </c>
      <c r="C72" t="s">
        <v>620</v>
      </c>
      <c r="D72" t="s">
        <v>1751</v>
      </c>
      <c r="E72" t="s">
        <v>1947</v>
      </c>
      <c r="F72" t="s">
        <v>1961</v>
      </c>
      <c r="G72" t="s">
        <v>1933</v>
      </c>
      <c r="H72">
        <v>1</v>
      </c>
      <c r="I72" t="s">
        <v>1929</v>
      </c>
      <c r="J72" t="s">
        <v>2018</v>
      </c>
      <c r="K72">
        <v>18</v>
      </c>
      <c r="L72">
        <v>1</v>
      </c>
      <c r="M72">
        <v>-1</v>
      </c>
      <c r="N72">
        <v>-1</v>
      </c>
      <c r="O72">
        <v>-1</v>
      </c>
      <c r="P72" t="str">
        <f t="shared" si="43"/>
        <v>1d3</v>
      </c>
      <c r="Q72">
        <f t="shared" si="44"/>
        <v>2</v>
      </c>
      <c r="R72">
        <v>-1</v>
      </c>
      <c r="S72">
        <v>-1</v>
      </c>
      <c r="T72">
        <v>0</v>
      </c>
      <c r="U72">
        <v>0</v>
      </c>
      <c r="V72">
        <v>0</v>
      </c>
      <c r="W72">
        <v>0</v>
      </c>
      <c r="X72">
        <v>-1</v>
      </c>
      <c r="Y72">
        <v>-1</v>
      </c>
    </row>
    <row r="73" spans="2:25">
      <c r="B73" t="s">
        <v>1029</v>
      </c>
      <c r="C73" t="s">
        <v>620</v>
      </c>
      <c r="D73" t="s">
        <v>1751</v>
      </c>
      <c r="E73" t="s">
        <v>1947</v>
      </c>
      <c r="F73" t="s">
        <v>1961</v>
      </c>
      <c r="G73" t="s">
        <v>1941</v>
      </c>
      <c r="H73">
        <v>-2</v>
      </c>
      <c r="I73" t="s">
        <v>1929</v>
      </c>
      <c r="J73" t="s">
        <v>1963</v>
      </c>
      <c r="K73">
        <v>20</v>
      </c>
      <c r="L73">
        <v>-1</v>
      </c>
      <c r="M73">
        <v>-1</v>
      </c>
      <c r="N73">
        <v>0</v>
      </c>
      <c r="O73">
        <v>-1</v>
      </c>
      <c r="P73" t="str">
        <f t="shared" ref="P73" si="45">LEFT(G73,3)</f>
        <v>1d6</v>
      </c>
      <c r="Q73">
        <f t="shared" ref="Q73" si="46">IF(P73=G73,0,VALUE( SUBSTITUTE(G73,P73,"") ))</f>
        <v>1</v>
      </c>
      <c r="R73">
        <v>-1</v>
      </c>
      <c r="S73">
        <v>-1</v>
      </c>
      <c r="T73">
        <v>0</v>
      </c>
      <c r="U73">
        <v>0</v>
      </c>
      <c r="V73">
        <v>0</v>
      </c>
      <c r="W73">
        <v>0</v>
      </c>
      <c r="X73">
        <v>-1</v>
      </c>
      <c r="Y73">
        <v>-1</v>
      </c>
    </row>
    <row r="74" spans="2:25">
      <c r="B74" t="s">
        <v>1065</v>
      </c>
      <c r="C74" t="s">
        <v>620</v>
      </c>
      <c r="D74" t="s">
        <v>1751</v>
      </c>
      <c r="E74" t="s">
        <v>1947</v>
      </c>
      <c r="F74" t="s">
        <v>1961</v>
      </c>
      <c r="G74" t="s">
        <v>1953</v>
      </c>
      <c r="H74">
        <v>2</v>
      </c>
      <c r="I74" t="s">
        <v>1929</v>
      </c>
      <c r="J74" t="s">
        <v>2019</v>
      </c>
      <c r="K74">
        <v>60</v>
      </c>
      <c r="L74">
        <v>1</v>
      </c>
      <c r="M74">
        <v>-1</v>
      </c>
      <c r="N74">
        <v>2</v>
      </c>
      <c r="O74">
        <v>-1</v>
      </c>
      <c r="P74" t="str">
        <f t="shared" ref="P74:P76" si="47">LEFT(G74,3)</f>
        <v>1d6</v>
      </c>
      <c r="Q74">
        <f t="shared" ref="Q74:Q76" si="48">IF(P74=G74,0,VALUE( SUBSTITUTE(G74,P74,"") ))</f>
        <v>4</v>
      </c>
      <c r="R74">
        <v>-1</v>
      </c>
      <c r="S74">
        <v>-1</v>
      </c>
      <c r="T74">
        <v>0</v>
      </c>
      <c r="U74">
        <v>0</v>
      </c>
      <c r="V74">
        <v>0</v>
      </c>
      <c r="W74">
        <v>0</v>
      </c>
      <c r="X74">
        <v>-1</v>
      </c>
      <c r="Y74">
        <v>-1</v>
      </c>
    </row>
    <row r="75" spans="2:25">
      <c r="B75" t="s">
        <v>1098</v>
      </c>
      <c r="C75" t="s">
        <v>620</v>
      </c>
      <c r="D75" t="s">
        <v>1759</v>
      </c>
      <c r="E75" t="s">
        <v>1947</v>
      </c>
      <c r="F75" t="s">
        <v>1961</v>
      </c>
      <c r="G75" t="s">
        <v>1946</v>
      </c>
      <c r="H75">
        <v>-2</v>
      </c>
      <c r="I75" t="s">
        <v>1929</v>
      </c>
      <c r="J75" t="s">
        <v>2020</v>
      </c>
      <c r="K75">
        <v>20</v>
      </c>
      <c r="L75">
        <v>-1</v>
      </c>
      <c r="M75">
        <v>-1</v>
      </c>
      <c r="N75">
        <v>1</v>
      </c>
      <c r="O75">
        <v>-1</v>
      </c>
      <c r="P75" t="str">
        <f t="shared" si="47"/>
        <v>1d6</v>
      </c>
      <c r="Q75">
        <f t="shared" si="48"/>
        <v>2</v>
      </c>
      <c r="R75">
        <v>-1</v>
      </c>
      <c r="S75">
        <v>-1</v>
      </c>
      <c r="T75">
        <v>0</v>
      </c>
      <c r="U75">
        <v>0</v>
      </c>
      <c r="V75">
        <v>0</v>
      </c>
      <c r="W75">
        <v>0</v>
      </c>
      <c r="X75">
        <v>-1</v>
      </c>
      <c r="Y75">
        <v>-1</v>
      </c>
    </row>
    <row r="76" spans="2:25">
      <c r="B76" t="s">
        <v>1128</v>
      </c>
      <c r="C76" t="s">
        <v>620</v>
      </c>
      <c r="D76" t="s">
        <v>1759</v>
      </c>
      <c r="E76" t="s">
        <v>1947</v>
      </c>
      <c r="F76" t="s">
        <v>1961</v>
      </c>
      <c r="G76" t="s">
        <v>1948</v>
      </c>
      <c r="H76">
        <v>2</v>
      </c>
      <c r="I76" t="s">
        <v>1929</v>
      </c>
      <c r="J76" t="s">
        <v>2021</v>
      </c>
      <c r="K76">
        <v>80</v>
      </c>
      <c r="L76">
        <v>1</v>
      </c>
      <c r="M76">
        <v>-1</v>
      </c>
      <c r="N76">
        <v>3</v>
      </c>
      <c r="O76">
        <v>-1</v>
      </c>
      <c r="P76" t="str">
        <f t="shared" si="47"/>
        <v>2d6</v>
      </c>
      <c r="Q76">
        <f t="shared" si="48"/>
        <v>2</v>
      </c>
      <c r="R76">
        <v>-1</v>
      </c>
      <c r="S76">
        <v>-1</v>
      </c>
      <c r="T76">
        <v>0</v>
      </c>
      <c r="U76">
        <v>0</v>
      </c>
      <c r="V76">
        <v>0</v>
      </c>
      <c r="W76">
        <v>0</v>
      </c>
      <c r="X76">
        <v>-1</v>
      </c>
      <c r="Y76">
        <v>-1</v>
      </c>
    </row>
    <row r="77" spans="2:25">
      <c r="B77" t="s">
        <v>1157</v>
      </c>
      <c r="C77" t="s">
        <v>620</v>
      </c>
      <c r="D77" t="s">
        <v>1751</v>
      </c>
      <c r="E77" t="s">
        <v>1947</v>
      </c>
      <c r="F77" t="s">
        <v>1961</v>
      </c>
      <c r="G77" t="s">
        <v>2022</v>
      </c>
      <c r="H77">
        <v>-4</v>
      </c>
      <c r="I77" t="s">
        <v>1929</v>
      </c>
      <c r="J77" t="s">
        <v>2023</v>
      </c>
      <c r="K77">
        <v>10</v>
      </c>
      <c r="L77">
        <v>-1</v>
      </c>
      <c r="M77">
        <v>-1</v>
      </c>
      <c r="N77">
        <v>0</v>
      </c>
      <c r="O77">
        <v>-1</v>
      </c>
      <c r="P77" t="str">
        <f t="shared" ref="P77" si="49">LEFT(G77,3)</f>
        <v>1d6</v>
      </c>
      <c r="Q77">
        <f t="shared" ref="Q77" si="50">IF(P77=G77,0,VALUE( SUBSTITUTE(G77,P77,"") ))</f>
        <v>-1</v>
      </c>
      <c r="R77">
        <v>-1</v>
      </c>
      <c r="S77">
        <v>-1</v>
      </c>
      <c r="T77">
        <v>0</v>
      </c>
      <c r="U77">
        <v>0</v>
      </c>
      <c r="V77">
        <v>0</v>
      </c>
      <c r="W77">
        <v>0</v>
      </c>
      <c r="X77">
        <v>-1</v>
      </c>
      <c r="Y77">
        <v>-1</v>
      </c>
    </row>
    <row r="78" spans="2:25">
      <c r="B78" t="s">
        <v>1180</v>
      </c>
      <c r="C78" t="s">
        <v>620</v>
      </c>
      <c r="D78" t="s">
        <v>1751</v>
      </c>
      <c r="E78" t="s">
        <v>1947</v>
      </c>
      <c r="F78" t="s">
        <v>1961</v>
      </c>
      <c r="G78" t="s">
        <v>1951</v>
      </c>
      <c r="H78">
        <v>-4</v>
      </c>
      <c r="I78" t="s">
        <v>1929</v>
      </c>
      <c r="J78" t="s">
        <v>2024</v>
      </c>
      <c r="K78">
        <v>145</v>
      </c>
      <c r="L78">
        <v>-1</v>
      </c>
      <c r="M78">
        <v>-1</v>
      </c>
      <c r="N78">
        <v>1</v>
      </c>
      <c r="O78">
        <v>-1</v>
      </c>
      <c r="P78" t="str">
        <f t="shared" ref="P78:P79" si="51">LEFT(G78,3)</f>
        <v>2d6</v>
      </c>
      <c r="Q78">
        <f t="shared" ref="Q78:Q79" si="52">IF(P78=G78,0,VALUE( SUBSTITUTE(G78,P78,"") ))</f>
        <v>0</v>
      </c>
      <c r="R78">
        <v>-1</v>
      </c>
      <c r="S78">
        <v>-1</v>
      </c>
      <c r="T78">
        <v>0</v>
      </c>
      <c r="U78">
        <v>0</v>
      </c>
      <c r="V78">
        <v>0</v>
      </c>
      <c r="W78">
        <v>0</v>
      </c>
      <c r="X78">
        <v>-1</v>
      </c>
      <c r="Y78">
        <v>-1</v>
      </c>
    </row>
    <row r="79" spans="2:25">
      <c r="B79" t="s">
        <v>825</v>
      </c>
      <c r="C79" t="s">
        <v>621</v>
      </c>
      <c r="D79" t="s">
        <v>1751</v>
      </c>
      <c r="E79" t="s">
        <v>1926</v>
      </c>
      <c r="F79" t="s">
        <v>1961</v>
      </c>
      <c r="G79" t="s">
        <v>1962</v>
      </c>
      <c r="H79">
        <v>0</v>
      </c>
      <c r="I79" t="s">
        <v>1929</v>
      </c>
      <c r="J79" t="s">
        <v>1934</v>
      </c>
      <c r="K79">
        <v>0</v>
      </c>
      <c r="L79">
        <v>-1</v>
      </c>
      <c r="M79">
        <v>-1</v>
      </c>
      <c r="N79">
        <v>-1</v>
      </c>
      <c r="O79">
        <v>-1</v>
      </c>
      <c r="P79" t="str">
        <f t="shared" si="51"/>
        <v>1d3</v>
      </c>
      <c r="Q79">
        <f t="shared" si="52"/>
        <v>0</v>
      </c>
      <c r="R79">
        <v>-1</v>
      </c>
      <c r="S79">
        <v>-1</v>
      </c>
      <c r="T79">
        <v>0</v>
      </c>
      <c r="U79">
        <v>0</v>
      </c>
      <c r="V79">
        <v>0</v>
      </c>
      <c r="W79">
        <v>0</v>
      </c>
      <c r="X79">
        <v>-1</v>
      </c>
      <c r="Y79">
        <v>-1</v>
      </c>
    </row>
    <row r="80" spans="2:25">
      <c r="B80" t="s">
        <v>869</v>
      </c>
      <c r="C80" t="s">
        <v>621</v>
      </c>
      <c r="D80" t="s">
        <v>1751</v>
      </c>
      <c r="E80" t="s">
        <v>1947</v>
      </c>
      <c r="F80" t="s">
        <v>1961</v>
      </c>
      <c r="G80" t="s">
        <v>1933</v>
      </c>
      <c r="H80">
        <v>0</v>
      </c>
      <c r="I80" t="s">
        <v>1929</v>
      </c>
      <c r="J80" t="s">
        <v>1934</v>
      </c>
      <c r="K80">
        <v>0</v>
      </c>
      <c r="L80">
        <v>-1</v>
      </c>
      <c r="M80">
        <v>-1</v>
      </c>
      <c r="N80">
        <v>-1</v>
      </c>
      <c r="O80">
        <v>-1</v>
      </c>
      <c r="P80" t="str">
        <f t="shared" ref="P80:P81" si="53">LEFT(G80,3)</f>
        <v>1d3</v>
      </c>
      <c r="Q80">
        <f t="shared" ref="Q80:Q81" si="54">IF(P80=G80,0,VALUE( SUBSTITUTE(G80,P80,"") ))</f>
        <v>2</v>
      </c>
      <c r="R80">
        <v>-1</v>
      </c>
      <c r="S80">
        <v>-1</v>
      </c>
      <c r="T80">
        <v>0</v>
      </c>
      <c r="U80">
        <v>0</v>
      </c>
      <c r="V80">
        <v>0</v>
      </c>
      <c r="W80">
        <v>0</v>
      </c>
      <c r="X80">
        <v>-1</v>
      </c>
      <c r="Y80">
        <v>-1</v>
      </c>
    </row>
    <row r="81" spans="2:25">
      <c r="B81" t="s">
        <v>911</v>
      </c>
      <c r="C81" t="s">
        <v>621</v>
      </c>
      <c r="D81" t="s">
        <v>1751</v>
      </c>
      <c r="E81" t="s">
        <v>1926</v>
      </c>
      <c r="F81" t="s">
        <v>1961</v>
      </c>
      <c r="G81" t="s">
        <v>1962</v>
      </c>
      <c r="H81">
        <v>2</v>
      </c>
      <c r="I81" t="s">
        <v>1929</v>
      </c>
      <c r="J81" t="s">
        <v>1934</v>
      </c>
      <c r="K81">
        <v>18</v>
      </c>
      <c r="L81">
        <v>-1</v>
      </c>
      <c r="M81">
        <v>-1</v>
      </c>
      <c r="N81">
        <v>-1</v>
      </c>
      <c r="O81">
        <v>-1</v>
      </c>
      <c r="P81" t="str">
        <f t="shared" si="53"/>
        <v>1d3</v>
      </c>
      <c r="Q81">
        <f t="shared" si="54"/>
        <v>0</v>
      </c>
      <c r="R81">
        <v>-1</v>
      </c>
      <c r="S81">
        <v>-1</v>
      </c>
      <c r="T81">
        <v>0</v>
      </c>
      <c r="U81">
        <v>0</v>
      </c>
      <c r="V81">
        <v>0</v>
      </c>
      <c r="W81">
        <v>0</v>
      </c>
      <c r="X81">
        <v>-1</v>
      </c>
      <c r="Y81">
        <v>-1</v>
      </c>
    </row>
    <row r="82" spans="2:25">
      <c r="B82" t="s">
        <v>953</v>
      </c>
      <c r="C82" t="s">
        <v>621</v>
      </c>
      <c r="D82" t="s">
        <v>1751</v>
      </c>
      <c r="E82" t="s">
        <v>1947</v>
      </c>
      <c r="F82" t="s">
        <v>1961</v>
      </c>
      <c r="G82" t="s">
        <v>2025</v>
      </c>
      <c r="H82">
        <v>2</v>
      </c>
      <c r="I82" t="s">
        <v>1929</v>
      </c>
      <c r="J82" t="s">
        <v>2026</v>
      </c>
      <c r="K82">
        <v>0</v>
      </c>
      <c r="L82">
        <v>-1</v>
      </c>
      <c r="M82">
        <v>-1</v>
      </c>
      <c r="N82">
        <v>-1</v>
      </c>
      <c r="O82">
        <v>-1</v>
      </c>
      <c r="P82" t="str">
        <f t="shared" ref="P82:P83" si="55">LEFT(G82,3)</f>
        <v>1d3</v>
      </c>
      <c r="Q82">
        <f t="shared" ref="Q82:Q83" si="56">IF(P82=G82,0,VALUE( SUBSTITUTE(G82,P82,"") ))</f>
        <v>3</v>
      </c>
      <c r="R82">
        <v>-1</v>
      </c>
      <c r="S82">
        <v>-1</v>
      </c>
      <c r="T82">
        <v>0</v>
      </c>
      <c r="U82">
        <v>0</v>
      </c>
      <c r="V82">
        <v>0</v>
      </c>
      <c r="W82">
        <v>0</v>
      </c>
      <c r="X82">
        <v>-1</v>
      </c>
      <c r="Y82">
        <v>-1</v>
      </c>
    </row>
    <row r="83" spans="2:25">
      <c r="B83" t="s">
        <v>995</v>
      </c>
      <c r="C83" t="s">
        <v>621</v>
      </c>
      <c r="D83" t="s">
        <v>1751</v>
      </c>
      <c r="E83" t="s">
        <v>1926</v>
      </c>
      <c r="F83" t="s">
        <v>1961</v>
      </c>
      <c r="G83" t="s">
        <v>1928</v>
      </c>
      <c r="H83">
        <v>0</v>
      </c>
      <c r="I83" t="s">
        <v>1929</v>
      </c>
      <c r="J83" t="s">
        <v>1934</v>
      </c>
      <c r="K83">
        <v>10</v>
      </c>
      <c r="L83">
        <v>-1</v>
      </c>
      <c r="M83">
        <v>-1</v>
      </c>
      <c r="N83">
        <v>-1</v>
      </c>
      <c r="O83">
        <v>-1</v>
      </c>
      <c r="P83" t="str">
        <f t="shared" si="55"/>
        <v>1d3</v>
      </c>
      <c r="Q83">
        <f t="shared" si="56"/>
        <v>1</v>
      </c>
      <c r="R83">
        <v>-1</v>
      </c>
      <c r="S83">
        <v>-1</v>
      </c>
      <c r="T83">
        <v>0</v>
      </c>
      <c r="U83">
        <v>0</v>
      </c>
      <c r="V83">
        <v>0</v>
      </c>
      <c r="W83">
        <v>0</v>
      </c>
      <c r="X83">
        <v>-1</v>
      </c>
      <c r="Y83">
        <v>-1</v>
      </c>
    </row>
    <row r="84" spans="2:25">
      <c r="B84" t="s">
        <v>1030</v>
      </c>
      <c r="C84" t="s">
        <v>621</v>
      </c>
      <c r="D84" t="s">
        <v>1751</v>
      </c>
      <c r="E84" t="s">
        <v>1926</v>
      </c>
      <c r="F84" t="s">
        <v>1961</v>
      </c>
      <c r="G84" t="s">
        <v>1933</v>
      </c>
      <c r="H84">
        <v>2</v>
      </c>
      <c r="I84" t="s">
        <v>1929</v>
      </c>
      <c r="J84" t="s">
        <v>2027</v>
      </c>
      <c r="K84">
        <v>25</v>
      </c>
      <c r="L84">
        <v>0</v>
      </c>
      <c r="M84">
        <v>-1</v>
      </c>
      <c r="N84">
        <v>0</v>
      </c>
      <c r="O84">
        <v>-1</v>
      </c>
      <c r="P84" t="str">
        <f t="shared" ref="P84" si="57">LEFT(G84,3)</f>
        <v>1d3</v>
      </c>
      <c r="Q84">
        <f t="shared" ref="Q84" si="58">IF(P84=G84,0,VALUE( SUBSTITUTE(G84,P84,"") ))</f>
        <v>2</v>
      </c>
      <c r="R84">
        <v>-1</v>
      </c>
      <c r="S84">
        <v>-1</v>
      </c>
      <c r="T84">
        <v>0</v>
      </c>
      <c r="U84">
        <v>0</v>
      </c>
      <c r="V84">
        <v>0</v>
      </c>
      <c r="W84">
        <v>0</v>
      </c>
      <c r="X84">
        <v>-1</v>
      </c>
      <c r="Y84">
        <v>-1</v>
      </c>
    </row>
    <row r="85" spans="2:25">
      <c r="B85" t="s">
        <v>1066</v>
      </c>
      <c r="C85" t="s">
        <v>621</v>
      </c>
      <c r="D85" t="s">
        <v>1751</v>
      </c>
      <c r="E85" t="s">
        <v>1926</v>
      </c>
      <c r="F85" t="s">
        <v>2001</v>
      </c>
      <c r="G85" t="s">
        <v>1933</v>
      </c>
      <c r="H85">
        <v>2</v>
      </c>
      <c r="I85" t="s">
        <v>1929</v>
      </c>
      <c r="J85" t="s">
        <v>2028</v>
      </c>
      <c r="K85">
        <v>30</v>
      </c>
      <c r="L85">
        <v>0</v>
      </c>
      <c r="M85">
        <v>0</v>
      </c>
      <c r="N85">
        <v>-1</v>
      </c>
      <c r="O85">
        <v>-1</v>
      </c>
      <c r="P85" t="str">
        <f t="shared" ref="P85" si="59">LEFT(G85,3)</f>
        <v>1d3</v>
      </c>
      <c r="Q85">
        <f t="shared" ref="Q85" si="60">IF(P85=G85,0,VALUE( SUBSTITUTE(G85,P85,"") ))</f>
        <v>2</v>
      </c>
      <c r="R85">
        <v>-1</v>
      </c>
      <c r="S85">
        <v>-1</v>
      </c>
      <c r="T85">
        <v>0</v>
      </c>
      <c r="U85">
        <v>0</v>
      </c>
      <c r="V85">
        <v>0</v>
      </c>
      <c r="W85">
        <v>0</v>
      </c>
      <c r="X85">
        <v>-1</v>
      </c>
      <c r="Y85">
        <v>-1</v>
      </c>
    </row>
    <row r="86" spans="2:25">
      <c r="B86" t="s">
        <v>1099</v>
      </c>
      <c r="C86" t="s">
        <v>621</v>
      </c>
      <c r="D86" t="s">
        <v>1751</v>
      </c>
      <c r="E86" t="s">
        <v>1947</v>
      </c>
      <c r="F86" t="s">
        <v>2001</v>
      </c>
      <c r="G86" t="s">
        <v>1941</v>
      </c>
      <c r="H86">
        <v>0</v>
      </c>
      <c r="I86" t="s">
        <v>1929</v>
      </c>
      <c r="J86" t="s">
        <v>2029</v>
      </c>
      <c r="K86">
        <v>0</v>
      </c>
      <c r="L86">
        <v>1</v>
      </c>
      <c r="M86">
        <v>1</v>
      </c>
      <c r="N86">
        <v>-1</v>
      </c>
      <c r="O86">
        <v>1</v>
      </c>
      <c r="P86" t="str">
        <f t="shared" ref="P86:P87" si="61">LEFT(G86,3)</f>
        <v>1d6</v>
      </c>
      <c r="Q86">
        <f t="shared" ref="Q86:Q87" si="62">IF(P86=G86,0,VALUE( SUBSTITUTE(G86,P86,"") ))</f>
        <v>1</v>
      </c>
      <c r="R86">
        <v>-1</v>
      </c>
      <c r="S86">
        <v>-1</v>
      </c>
      <c r="T86">
        <v>0</v>
      </c>
      <c r="U86">
        <v>0</v>
      </c>
      <c r="V86">
        <v>0</v>
      </c>
      <c r="W86">
        <v>0</v>
      </c>
      <c r="X86">
        <v>-1</v>
      </c>
      <c r="Y86">
        <v>-1</v>
      </c>
    </row>
    <row r="87" spans="2:25">
      <c r="B87" t="s">
        <v>1129</v>
      </c>
      <c r="C87" t="s">
        <v>621</v>
      </c>
      <c r="D87" t="s">
        <v>1751</v>
      </c>
      <c r="E87" t="s">
        <v>1926</v>
      </c>
      <c r="F87" t="s">
        <v>2005</v>
      </c>
      <c r="G87" t="s">
        <v>1936</v>
      </c>
      <c r="H87">
        <v>0</v>
      </c>
      <c r="I87" t="s">
        <v>1929</v>
      </c>
      <c r="J87" t="s">
        <v>2030</v>
      </c>
      <c r="K87">
        <v>20</v>
      </c>
      <c r="L87">
        <v>2</v>
      </c>
      <c r="M87">
        <v>-1</v>
      </c>
      <c r="N87">
        <v>0</v>
      </c>
      <c r="O87">
        <v>1</v>
      </c>
      <c r="P87" t="str">
        <f t="shared" si="61"/>
        <v>1d6</v>
      </c>
      <c r="Q87">
        <f t="shared" si="62"/>
        <v>0</v>
      </c>
      <c r="R87">
        <v>-1</v>
      </c>
      <c r="S87">
        <v>-1</v>
      </c>
      <c r="T87">
        <v>0</v>
      </c>
      <c r="U87">
        <v>0</v>
      </c>
      <c r="V87">
        <v>0</v>
      </c>
      <c r="W87">
        <v>0</v>
      </c>
      <c r="X87">
        <v>-1</v>
      </c>
      <c r="Y87">
        <v>-1</v>
      </c>
    </row>
    <row r="88" spans="2:25">
      <c r="B88" t="s">
        <v>1158</v>
      </c>
      <c r="C88" t="s">
        <v>621</v>
      </c>
      <c r="D88" t="s">
        <v>1751</v>
      </c>
      <c r="E88" t="s">
        <v>2031</v>
      </c>
      <c r="F88" t="s">
        <v>1961</v>
      </c>
      <c r="G88" t="s">
        <v>1936</v>
      </c>
      <c r="H88">
        <v>-2</v>
      </c>
      <c r="I88" t="s">
        <v>1929</v>
      </c>
      <c r="J88" t="s">
        <v>2032</v>
      </c>
      <c r="K88">
        <v>25</v>
      </c>
      <c r="L88">
        <v>2</v>
      </c>
      <c r="M88">
        <v>-1</v>
      </c>
      <c r="N88">
        <v>0</v>
      </c>
      <c r="O88">
        <v>1</v>
      </c>
      <c r="P88" t="str">
        <f t="shared" ref="P88:P89" si="63">LEFT(G88,3)</f>
        <v>1d6</v>
      </c>
      <c r="Q88">
        <f t="shared" ref="Q88:Q89" si="64">IF(P88=G88,0,VALUE( SUBSTITUTE(G88,P88,"") ))</f>
        <v>0</v>
      </c>
      <c r="R88">
        <v>-1</v>
      </c>
      <c r="S88">
        <v>-1</v>
      </c>
      <c r="T88">
        <v>-1</v>
      </c>
      <c r="U88">
        <v>-4</v>
      </c>
      <c r="V88">
        <v>0</v>
      </c>
      <c r="W88">
        <v>0</v>
      </c>
      <c r="X88">
        <v>-1</v>
      </c>
      <c r="Y88">
        <v>-1</v>
      </c>
    </row>
    <row r="89" spans="2:25">
      <c r="B89" t="s">
        <v>1181</v>
      </c>
      <c r="C89" t="s">
        <v>621</v>
      </c>
      <c r="D89" t="s">
        <v>1751</v>
      </c>
      <c r="E89" t="s">
        <v>1926</v>
      </c>
      <c r="F89" t="s">
        <v>2001</v>
      </c>
      <c r="G89" t="s">
        <v>1936</v>
      </c>
      <c r="H89">
        <v>2</v>
      </c>
      <c r="I89" t="s">
        <v>1929</v>
      </c>
      <c r="J89" t="s">
        <v>2033</v>
      </c>
      <c r="K89">
        <v>55</v>
      </c>
      <c r="L89">
        <v>0</v>
      </c>
      <c r="M89">
        <v>1</v>
      </c>
      <c r="N89">
        <v>-1</v>
      </c>
      <c r="O89">
        <v>-1</v>
      </c>
      <c r="P89" t="str">
        <f t="shared" si="63"/>
        <v>1d6</v>
      </c>
      <c r="Q89">
        <f t="shared" si="64"/>
        <v>0</v>
      </c>
      <c r="R89">
        <v>-1</v>
      </c>
      <c r="S89">
        <v>-1</v>
      </c>
      <c r="T89">
        <v>0</v>
      </c>
      <c r="U89">
        <v>0</v>
      </c>
      <c r="V89">
        <v>0</v>
      </c>
      <c r="W89">
        <v>0</v>
      </c>
      <c r="X89">
        <v>-1</v>
      </c>
      <c r="Y89">
        <v>-1</v>
      </c>
    </row>
    <row r="90" spans="2:25">
      <c r="B90" t="s">
        <v>1203</v>
      </c>
      <c r="C90" t="s">
        <v>621</v>
      </c>
      <c r="D90" t="s">
        <v>1751</v>
      </c>
      <c r="E90" t="s">
        <v>1947</v>
      </c>
      <c r="F90" t="s">
        <v>2001</v>
      </c>
      <c r="G90" t="s">
        <v>1951</v>
      </c>
      <c r="H90">
        <v>0</v>
      </c>
      <c r="I90" t="s">
        <v>1929</v>
      </c>
      <c r="J90" t="s">
        <v>2034</v>
      </c>
      <c r="K90">
        <v>0</v>
      </c>
      <c r="L90">
        <v>1</v>
      </c>
      <c r="M90">
        <v>2</v>
      </c>
      <c r="N90">
        <v>-1</v>
      </c>
      <c r="O90">
        <v>1</v>
      </c>
      <c r="P90" t="str">
        <f t="shared" ref="P90:P92" si="65">LEFT(G90,3)</f>
        <v>2d6</v>
      </c>
      <c r="Q90">
        <f t="shared" ref="Q90:Q92" si="66">IF(P90=G90,0,VALUE( SUBSTITUTE(G90,P90,"") ))</f>
        <v>0</v>
      </c>
      <c r="R90">
        <v>-1</v>
      </c>
      <c r="S90">
        <v>-1</v>
      </c>
      <c r="T90">
        <v>0</v>
      </c>
      <c r="U90">
        <v>0</v>
      </c>
      <c r="V90">
        <v>0</v>
      </c>
      <c r="W90">
        <v>0</v>
      </c>
      <c r="X90">
        <v>-1</v>
      </c>
      <c r="Y90">
        <v>-1</v>
      </c>
    </row>
    <row r="91" spans="2:25">
      <c r="B91" t="s">
        <v>1222</v>
      </c>
      <c r="C91" t="s">
        <v>621</v>
      </c>
      <c r="D91" t="s">
        <v>1751</v>
      </c>
      <c r="E91" t="s">
        <v>1947</v>
      </c>
      <c r="F91" t="s">
        <v>1961</v>
      </c>
      <c r="G91" t="s">
        <v>1948</v>
      </c>
      <c r="H91">
        <v>2</v>
      </c>
      <c r="I91" t="s">
        <v>1929</v>
      </c>
      <c r="J91" t="s">
        <v>2035</v>
      </c>
      <c r="K91">
        <v>70</v>
      </c>
      <c r="L91">
        <v>0</v>
      </c>
      <c r="M91">
        <v>1</v>
      </c>
      <c r="N91">
        <v>-1</v>
      </c>
      <c r="O91">
        <v>-1</v>
      </c>
      <c r="P91" t="str">
        <f t="shared" si="65"/>
        <v>2d6</v>
      </c>
      <c r="Q91">
        <f t="shared" si="66"/>
        <v>2</v>
      </c>
      <c r="R91">
        <v>-1</v>
      </c>
      <c r="S91">
        <v>-1</v>
      </c>
      <c r="T91">
        <v>0</v>
      </c>
      <c r="U91">
        <v>0</v>
      </c>
      <c r="V91">
        <v>0</v>
      </c>
      <c r="W91">
        <v>0</v>
      </c>
      <c r="X91">
        <v>-1</v>
      </c>
      <c r="Y91">
        <v>-1</v>
      </c>
    </row>
    <row r="92" spans="2:25">
      <c r="B92" t="s">
        <v>1221</v>
      </c>
      <c r="C92" t="s">
        <v>614</v>
      </c>
      <c r="D92" t="s">
        <v>1751</v>
      </c>
      <c r="E92" t="s">
        <v>1926</v>
      </c>
      <c r="F92" t="s">
        <v>1931</v>
      </c>
      <c r="G92" t="s">
        <v>1928</v>
      </c>
      <c r="H92">
        <v>0</v>
      </c>
      <c r="I92" t="s">
        <v>1929</v>
      </c>
      <c r="J92" t="s">
        <v>2036</v>
      </c>
      <c r="K92">
        <v>1100</v>
      </c>
      <c r="L92">
        <v>-1</v>
      </c>
      <c r="M92">
        <v>-1</v>
      </c>
      <c r="N92">
        <v>-1</v>
      </c>
      <c r="O92">
        <v>-1</v>
      </c>
      <c r="P92" t="str">
        <f t="shared" si="65"/>
        <v>1d3</v>
      </c>
      <c r="Q92">
        <f t="shared" si="66"/>
        <v>1</v>
      </c>
      <c r="R92">
        <v>-1</v>
      </c>
      <c r="S92">
        <v>-1</v>
      </c>
      <c r="T92">
        <v>0</v>
      </c>
      <c r="U92">
        <v>0</v>
      </c>
      <c r="V92">
        <v>1</v>
      </c>
      <c r="W92">
        <v>0</v>
      </c>
      <c r="X92">
        <v>-1</v>
      </c>
      <c r="Y92">
        <v>-1</v>
      </c>
    </row>
    <row r="93" spans="2:25">
      <c r="B93" t="s">
        <v>1241</v>
      </c>
      <c r="C93" t="s">
        <v>614</v>
      </c>
      <c r="D93" t="s">
        <v>1751</v>
      </c>
      <c r="E93" t="s">
        <v>1926</v>
      </c>
      <c r="F93" t="s">
        <v>1931</v>
      </c>
      <c r="G93" t="s">
        <v>1933</v>
      </c>
      <c r="H93">
        <v>1</v>
      </c>
      <c r="I93" t="s">
        <v>1929</v>
      </c>
      <c r="J93" t="s">
        <v>2037</v>
      </c>
      <c r="K93">
        <v>150</v>
      </c>
      <c r="L93">
        <v>-1</v>
      </c>
      <c r="M93">
        <v>-1</v>
      </c>
      <c r="N93">
        <v>-1</v>
      </c>
      <c r="O93">
        <v>-1</v>
      </c>
      <c r="P93" t="str">
        <f t="shared" ref="P93:P94" si="67">LEFT(G93,3)</f>
        <v>1d3</v>
      </c>
      <c r="Q93">
        <f t="shared" ref="Q93:Q94" si="68">IF(P93=G93,0,VALUE( SUBSTITUTE(G93,P93,"") ))</f>
        <v>2</v>
      </c>
      <c r="R93">
        <v>-1</v>
      </c>
      <c r="S93">
        <v>-1</v>
      </c>
      <c r="T93">
        <v>0</v>
      </c>
      <c r="U93">
        <v>0</v>
      </c>
      <c r="V93">
        <v>0</v>
      </c>
      <c r="W93">
        <v>0</v>
      </c>
      <c r="X93">
        <v>-1</v>
      </c>
      <c r="Y93">
        <v>-1</v>
      </c>
    </row>
    <row r="94" spans="2:25">
      <c r="B94" t="s">
        <v>1260</v>
      </c>
      <c r="C94" t="s">
        <v>614</v>
      </c>
      <c r="D94" t="s">
        <v>1751</v>
      </c>
      <c r="E94" t="s">
        <v>1926</v>
      </c>
      <c r="F94" t="s">
        <v>1931</v>
      </c>
      <c r="G94" t="s">
        <v>1928</v>
      </c>
      <c r="H94">
        <v>0</v>
      </c>
      <c r="I94" t="s">
        <v>1929</v>
      </c>
      <c r="J94" t="s">
        <v>2038</v>
      </c>
      <c r="K94">
        <v>30</v>
      </c>
      <c r="L94">
        <v>-1</v>
      </c>
      <c r="M94">
        <v>-1</v>
      </c>
      <c r="N94">
        <v>-1</v>
      </c>
      <c r="O94">
        <v>-1</v>
      </c>
      <c r="P94" t="str">
        <f t="shared" si="67"/>
        <v>1d3</v>
      </c>
      <c r="Q94">
        <f t="shared" si="68"/>
        <v>1</v>
      </c>
      <c r="R94">
        <v>-1</v>
      </c>
      <c r="S94">
        <v>-1</v>
      </c>
      <c r="T94">
        <v>0</v>
      </c>
      <c r="U94">
        <v>0</v>
      </c>
      <c r="V94">
        <v>0</v>
      </c>
      <c r="W94">
        <v>0</v>
      </c>
      <c r="X94">
        <v>-1</v>
      </c>
      <c r="Y94">
        <v>-1</v>
      </c>
    </row>
    <row r="95" spans="2:25">
      <c r="B95" t="s">
        <v>1275</v>
      </c>
      <c r="C95" t="s">
        <v>614</v>
      </c>
      <c r="D95" t="s">
        <v>1751</v>
      </c>
      <c r="E95" t="s">
        <v>1926</v>
      </c>
      <c r="F95" t="s">
        <v>1931</v>
      </c>
      <c r="G95" t="s">
        <v>2025</v>
      </c>
      <c r="H95">
        <v>2</v>
      </c>
      <c r="I95" t="s">
        <v>1929</v>
      </c>
      <c r="J95" t="s">
        <v>2037</v>
      </c>
      <c r="K95">
        <v>1100</v>
      </c>
      <c r="L95">
        <v>-1</v>
      </c>
      <c r="M95">
        <v>-1</v>
      </c>
      <c r="N95">
        <v>-1</v>
      </c>
      <c r="O95">
        <v>-1</v>
      </c>
      <c r="P95" t="str">
        <f t="shared" ref="P95:P99" si="69">LEFT(G95,3)</f>
        <v>1d3</v>
      </c>
      <c r="Q95">
        <f t="shared" ref="Q95:Q99" si="70">IF(P95=G95,0,VALUE( SUBSTITUTE(G95,P95,"") ))</f>
        <v>3</v>
      </c>
      <c r="R95">
        <v>-1</v>
      </c>
      <c r="S95">
        <v>-1</v>
      </c>
      <c r="T95">
        <v>0</v>
      </c>
      <c r="U95">
        <v>0</v>
      </c>
      <c r="V95">
        <v>0</v>
      </c>
      <c r="W95">
        <v>0</v>
      </c>
      <c r="X95">
        <v>-1</v>
      </c>
      <c r="Y95">
        <v>-1</v>
      </c>
    </row>
    <row r="96" spans="2:25">
      <c r="B96" t="s">
        <v>1290</v>
      </c>
      <c r="C96" t="s">
        <v>614</v>
      </c>
      <c r="D96" t="s">
        <v>1751</v>
      </c>
      <c r="E96" t="s">
        <v>1926</v>
      </c>
      <c r="F96" t="s">
        <v>1931</v>
      </c>
      <c r="G96" t="s">
        <v>1928</v>
      </c>
      <c r="H96">
        <v>0</v>
      </c>
      <c r="I96" t="s">
        <v>1929</v>
      </c>
      <c r="J96" t="s">
        <v>2039</v>
      </c>
      <c r="K96">
        <v>1100</v>
      </c>
      <c r="L96">
        <v>-1</v>
      </c>
      <c r="M96">
        <v>-1</v>
      </c>
      <c r="N96">
        <v>-1</v>
      </c>
      <c r="O96">
        <v>-1</v>
      </c>
      <c r="P96" t="str">
        <f t="shared" si="69"/>
        <v>1d3</v>
      </c>
      <c r="Q96">
        <f t="shared" si="70"/>
        <v>1</v>
      </c>
      <c r="R96">
        <v>1</v>
      </c>
      <c r="S96">
        <v>-1</v>
      </c>
      <c r="T96">
        <v>0</v>
      </c>
      <c r="U96">
        <v>0</v>
      </c>
      <c r="V96">
        <v>0</v>
      </c>
      <c r="W96">
        <v>0</v>
      </c>
      <c r="X96">
        <v>-1</v>
      </c>
      <c r="Y96">
        <v>-1</v>
      </c>
    </row>
    <row r="97" spans="2:25">
      <c r="B97" t="s">
        <v>1094</v>
      </c>
      <c r="C97" t="s">
        <v>625</v>
      </c>
      <c r="D97" t="s">
        <v>1751</v>
      </c>
      <c r="E97" t="s">
        <v>1947</v>
      </c>
      <c r="F97" t="s">
        <v>1927</v>
      </c>
      <c r="G97" t="s">
        <v>1936</v>
      </c>
      <c r="H97">
        <v>0</v>
      </c>
      <c r="I97" t="s">
        <v>1973</v>
      </c>
      <c r="J97" t="s">
        <v>2040</v>
      </c>
      <c r="K97">
        <v>1400</v>
      </c>
      <c r="L97">
        <v>-1</v>
      </c>
      <c r="M97">
        <v>-1</v>
      </c>
      <c r="N97">
        <v>-1</v>
      </c>
      <c r="O97">
        <v>1</v>
      </c>
      <c r="P97" t="str">
        <f t="shared" si="69"/>
        <v>1d6</v>
      </c>
      <c r="Q97">
        <f t="shared" si="70"/>
        <v>0</v>
      </c>
      <c r="R97">
        <v>-1</v>
      </c>
      <c r="S97">
        <v>-1</v>
      </c>
      <c r="T97">
        <v>0</v>
      </c>
      <c r="U97">
        <v>0</v>
      </c>
      <c r="V97">
        <v>1</v>
      </c>
      <c r="W97">
        <v>1</v>
      </c>
      <c r="X97">
        <v>-1</v>
      </c>
      <c r="Y97">
        <v>-1</v>
      </c>
    </row>
    <row r="98" spans="2:25">
      <c r="B98" t="s">
        <v>1242</v>
      </c>
      <c r="C98" t="s">
        <v>621</v>
      </c>
      <c r="D98" t="s">
        <v>1751</v>
      </c>
      <c r="E98" t="s">
        <v>1926</v>
      </c>
      <c r="F98" t="s">
        <v>1961</v>
      </c>
      <c r="G98" t="s">
        <v>1928</v>
      </c>
      <c r="H98">
        <v>0</v>
      </c>
      <c r="I98" t="s">
        <v>1929</v>
      </c>
      <c r="J98" t="s">
        <v>1934</v>
      </c>
      <c r="K98">
        <v>0</v>
      </c>
      <c r="L98">
        <v>-1</v>
      </c>
      <c r="M98">
        <v>-1</v>
      </c>
      <c r="N98">
        <v>-1</v>
      </c>
      <c r="O98">
        <v>-1</v>
      </c>
      <c r="P98" t="str">
        <f t="shared" si="69"/>
        <v>1d3</v>
      </c>
      <c r="Q98">
        <f t="shared" si="70"/>
        <v>1</v>
      </c>
      <c r="R98">
        <v>-1</v>
      </c>
      <c r="S98">
        <v>-1</v>
      </c>
      <c r="T98">
        <v>0</v>
      </c>
      <c r="U98">
        <v>0</v>
      </c>
      <c r="V98">
        <v>0</v>
      </c>
      <c r="W98">
        <v>0</v>
      </c>
      <c r="X98">
        <v>-1</v>
      </c>
      <c r="Y98">
        <v>-1</v>
      </c>
    </row>
    <row r="99" spans="2:25">
      <c r="B99" t="s">
        <v>1261</v>
      </c>
      <c r="C99" t="s">
        <v>621</v>
      </c>
      <c r="D99" t="s">
        <v>1751</v>
      </c>
      <c r="E99" t="s">
        <v>1947</v>
      </c>
      <c r="F99" t="s">
        <v>1961</v>
      </c>
      <c r="G99" t="s">
        <v>2025</v>
      </c>
      <c r="H99">
        <v>0</v>
      </c>
      <c r="I99" t="s">
        <v>1929</v>
      </c>
      <c r="J99" t="s">
        <v>1934</v>
      </c>
      <c r="K99">
        <v>0</v>
      </c>
      <c r="L99">
        <v>-1</v>
      </c>
      <c r="M99">
        <v>-1</v>
      </c>
      <c r="N99">
        <v>-1</v>
      </c>
      <c r="O99">
        <v>-1</v>
      </c>
      <c r="P99" t="str">
        <f t="shared" si="69"/>
        <v>1d3</v>
      </c>
      <c r="Q99">
        <f t="shared" si="70"/>
        <v>3</v>
      </c>
      <c r="R99">
        <v>-1</v>
      </c>
      <c r="S99">
        <v>-1</v>
      </c>
      <c r="T99">
        <v>0</v>
      </c>
      <c r="U99">
        <v>0</v>
      </c>
      <c r="V99">
        <v>0</v>
      </c>
      <c r="W99">
        <v>0</v>
      </c>
      <c r="X99">
        <v>-1</v>
      </c>
      <c r="Y99">
        <v>-1</v>
      </c>
    </row>
    <row r="100" spans="2:25">
      <c r="B100" t="s">
        <v>1276</v>
      </c>
      <c r="C100" t="s">
        <v>621</v>
      </c>
      <c r="D100" t="s">
        <v>1751</v>
      </c>
      <c r="E100" t="s">
        <v>1926</v>
      </c>
      <c r="F100" t="s">
        <v>1961</v>
      </c>
      <c r="G100" t="s">
        <v>1933</v>
      </c>
      <c r="H100">
        <v>0</v>
      </c>
      <c r="I100" t="s">
        <v>1929</v>
      </c>
      <c r="J100" t="s">
        <v>1934</v>
      </c>
      <c r="K100">
        <v>0</v>
      </c>
      <c r="L100">
        <v>-1</v>
      </c>
      <c r="M100">
        <v>-1</v>
      </c>
      <c r="N100">
        <v>-1</v>
      </c>
      <c r="O100">
        <v>-1</v>
      </c>
      <c r="P100" t="str">
        <f t="shared" ref="P100:P101" si="71">LEFT(G100,3)</f>
        <v>1d3</v>
      </c>
      <c r="Q100">
        <f t="shared" ref="Q100:Q101" si="72">IF(P100=G100,0,VALUE( SUBSTITUTE(G100,P100,"") ))</f>
        <v>2</v>
      </c>
      <c r="R100">
        <v>-1</v>
      </c>
      <c r="S100">
        <v>-1</v>
      </c>
      <c r="T100">
        <v>0</v>
      </c>
      <c r="U100">
        <v>0</v>
      </c>
      <c r="V100">
        <v>0</v>
      </c>
      <c r="W100">
        <v>0</v>
      </c>
      <c r="X100">
        <v>-1</v>
      </c>
      <c r="Y100">
        <v>-1</v>
      </c>
    </row>
    <row r="101" spans="2:25">
      <c r="B101" t="s">
        <v>1291</v>
      </c>
      <c r="C101" t="s">
        <v>621</v>
      </c>
      <c r="D101" t="s">
        <v>1751</v>
      </c>
      <c r="E101" t="s">
        <v>1947</v>
      </c>
      <c r="F101" t="s">
        <v>1961</v>
      </c>
      <c r="G101" t="s">
        <v>2041</v>
      </c>
      <c r="H101">
        <v>0</v>
      </c>
      <c r="I101" t="s">
        <v>1929</v>
      </c>
      <c r="J101" t="s">
        <v>1934</v>
      </c>
      <c r="K101">
        <v>0</v>
      </c>
      <c r="L101">
        <v>-1</v>
      </c>
      <c r="M101">
        <v>-1</v>
      </c>
      <c r="N101">
        <v>-1</v>
      </c>
      <c r="O101">
        <v>-1</v>
      </c>
      <c r="P101" t="str">
        <f t="shared" si="71"/>
        <v>1d3</v>
      </c>
      <c r="Q101">
        <f t="shared" si="72"/>
        <v>4</v>
      </c>
      <c r="R101">
        <v>-1</v>
      </c>
      <c r="S101">
        <v>-1</v>
      </c>
      <c r="T101">
        <v>0</v>
      </c>
      <c r="U101">
        <v>0</v>
      </c>
      <c r="V101">
        <v>0</v>
      </c>
      <c r="W101">
        <v>0</v>
      </c>
      <c r="X101">
        <v>-1</v>
      </c>
      <c r="Y101">
        <v>-1</v>
      </c>
    </row>
    <row r="102" spans="2:25">
      <c r="B102" t="s">
        <v>1305</v>
      </c>
      <c r="C102" t="s">
        <v>621</v>
      </c>
      <c r="D102" t="s">
        <v>1751</v>
      </c>
      <c r="E102" t="s">
        <v>1926</v>
      </c>
      <c r="F102" t="s">
        <v>1961</v>
      </c>
      <c r="G102" t="s">
        <v>2025</v>
      </c>
      <c r="H102">
        <v>0</v>
      </c>
      <c r="I102" t="s">
        <v>1929</v>
      </c>
      <c r="J102" t="s">
        <v>1934</v>
      </c>
      <c r="K102">
        <v>0</v>
      </c>
      <c r="L102">
        <v>-1</v>
      </c>
      <c r="M102">
        <v>-1</v>
      </c>
      <c r="N102">
        <v>-1</v>
      </c>
      <c r="O102">
        <v>-1</v>
      </c>
      <c r="P102" t="str">
        <f t="shared" ref="P102:P106" si="73">LEFT(G102,3)</f>
        <v>1d3</v>
      </c>
      <c r="Q102">
        <f t="shared" ref="Q102:Q106" si="74">IF(P102=G102,0,VALUE( SUBSTITUTE(G102,P102,"") ))</f>
        <v>3</v>
      </c>
      <c r="R102">
        <v>-1</v>
      </c>
      <c r="S102">
        <v>-1</v>
      </c>
      <c r="T102">
        <v>0</v>
      </c>
      <c r="U102">
        <v>0</v>
      </c>
      <c r="V102">
        <v>0</v>
      </c>
      <c r="W102">
        <v>0</v>
      </c>
      <c r="X102">
        <v>-1</v>
      </c>
      <c r="Y102">
        <v>-1</v>
      </c>
    </row>
    <row r="103" spans="2:25">
      <c r="B103" t="s">
        <v>1319</v>
      </c>
      <c r="C103" t="s">
        <v>621</v>
      </c>
      <c r="D103" t="s">
        <v>1751</v>
      </c>
      <c r="E103" t="s">
        <v>1947</v>
      </c>
      <c r="F103" t="s">
        <v>1961</v>
      </c>
      <c r="G103" t="s">
        <v>2042</v>
      </c>
      <c r="H103">
        <v>0</v>
      </c>
      <c r="I103" t="s">
        <v>1929</v>
      </c>
      <c r="J103" t="s">
        <v>1934</v>
      </c>
      <c r="K103">
        <v>0</v>
      </c>
      <c r="L103">
        <v>-1</v>
      </c>
      <c r="M103">
        <v>-1</v>
      </c>
      <c r="N103">
        <v>-1</v>
      </c>
      <c r="O103">
        <v>-1</v>
      </c>
      <c r="P103" t="str">
        <f t="shared" si="73"/>
        <v>1d3</v>
      </c>
      <c r="Q103">
        <f t="shared" si="74"/>
        <v>5</v>
      </c>
      <c r="R103">
        <v>-1</v>
      </c>
      <c r="S103">
        <v>-1</v>
      </c>
      <c r="T103">
        <v>0</v>
      </c>
      <c r="U103">
        <v>0</v>
      </c>
      <c r="V103">
        <v>0</v>
      </c>
      <c r="W103">
        <v>0</v>
      </c>
      <c r="X103">
        <v>-1</v>
      </c>
      <c r="Y103">
        <v>-1</v>
      </c>
    </row>
    <row r="104" spans="2:25">
      <c r="B104" t="s">
        <v>110</v>
      </c>
      <c r="C104" t="s">
        <v>614</v>
      </c>
      <c r="D104" t="s">
        <v>1751</v>
      </c>
      <c r="E104" t="s">
        <v>1926</v>
      </c>
      <c r="F104" t="s">
        <v>1931</v>
      </c>
      <c r="G104" t="s">
        <v>1928</v>
      </c>
      <c r="H104">
        <v>0</v>
      </c>
      <c r="I104" t="s">
        <v>1929</v>
      </c>
      <c r="J104" t="s">
        <v>2043</v>
      </c>
      <c r="K104">
        <v>10300</v>
      </c>
      <c r="L104">
        <v>-1</v>
      </c>
      <c r="M104">
        <v>-1</v>
      </c>
      <c r="N104">
        <v>-1</v>
      </c>
      <c r="O104">
        <v>-1</v>
      </c>
      <c r="P104" t="str">
        <f t="shared" si="73"/>
        <v>1d3</v>
      </c>
      <c r="Q104">
        <f t="shared" si="74"/>
        <v>1</v>
      </c>
      <c r="R104">
        <v>2</v>
      </c>
      <c r="S104">
        <v>-1</v>
      </c>
      <c r="T104">
        <v>0</v>
      </c>
      <c r="U104">
        <v>0</v>
      </c>
      <c r="V104">
        <v>0</v>
      </c>
      <c r="W104">
        <v>0</v>
      </c>
      <c r="X104">
        <v>-1</v>
      </c>
      <c r="Y104">
        <v>-1</v>
      </c>
    </row>
    <row r="105" spans="2:25">
      <c r="B105" t="s">
        <v>2113</v>
      </c>
      <c r="C105" t="s">
        <v>623</v>
      </c>
      <c r="D105" t="s">
        <v>1751</v>
      </c>
      <c r="E105" t="s">
        <v>1926</v>
      </c>
      <c r="F105" t="s">
        <v>1961</v>
      </c>
      <c r="G105" t="s">
        <v>1928</v>
      </c>
      <c r="H105">
        <v>3</v>
      </c>
      <c r="I105" t="s">
        <v>1985</v>
      </c>
      <c r="J105" t="s">
        <v>1987</v>
      </c>
      <c r="K105">
        <v>1</v>
      </c>
      <c r="L105">
        <v>-1</v>
      </c>
      <c r="M105">
        <v>-1</v>
      </c>
      <c r="N105">
        <v>-1</v>
      </c>
      <c r="O105">
        <v>-1</v>
      </c>
      <c r="P105" t="str">
        <f t="shared" si="73"/>
        <v>1d3</v>
      </c>
      <c r="Q105">
        <f t="shared" si="74"/>
        <v>1</v>
      </c>
      <c r="R105">
        <v>-1</v>
      </c>
      <c r="S105">
        <v>-1</v>
      </c>
      <c r="T105">
        <v>0</v>
      </c>
      <c r="U105">
        <v>0</v>
      </c>
      <c r="V105">
        <v>0</v>
      </c>
      <c r="W105">
        <v>0</v>
      </c>
      <c r="X105">
        <v>-1</v>
      </c>
      <c r="Y105">
        <v>-1</v>
      </c>
    </row>
    <row r="106" spans="2:25">
      <c r="B106" t="s">
        <v>2115</v>
      </c>
      <c r="C106" t="s">
        <v>623</v>
      </c>
      <c r="D106" t="s">
        <v>1751</v>
      </c>
      <c r="E106" t="s">
        <v>1926</v>
      </c>
      <c r="F106" t="s">
        <v>1961</v>
      </c>
      <c r="G106" t="s">
        <v>1941</v>
      </c>
      <c r="H106">
        <v>3</v>
      </c>
      <c r="I106" t="s">
        <v>1973</v>
      </c>
      <c r="J106" t="s">
        <v>1991</v>
      </c>
      <c r="K106">
        <v>30</v>
      </c>
      <c r="L106">
        <v>-1</v>
      </c>
      <c r="M106">
        <v>-1</v>
      </c>
      <c r="N106">
        <v>2</v>
      </c>
      <c r="O106">
        <v>-1</v>
      </c>
      <c r="P106" t="str">
        <f t="shared" si="73"/>
        <v>1d6</v>
      </c>
      <c r="Q106">
        <f t="shared" si="74"/>
        <v>1</v>
      </c>
      <c r="R106">
        <v>-1</v>
      </c>
      <c r="S106">
        <v>-1</v>
      </c>
      <c r="T106">
        <v>0</v>
      </c>
      <c r="U106">
        <v>0</v>
      </c>
      <c r="V106">
        <v>0</v>
      </c>
      <c r="W106">
        <v>0</v>
      </c>
      <c r="X106">
        <v>-1</v>
      </c>
      <c r="Y106">
        <v>-1</v>
      </c>
    </row>
    <row r="107" spans="2:25">
      <c r="B107" t="s">
        <v>2138</v>
      </c>
      <c r="C107" t="s">
        <v>619</v>
      </c>
      <c r="D107" t="s">
        <v>1751</v>
      </c>
      <c r="E107" t="s">
        <v>1926</v>
      </c>
      <c r="F107" t="s">
        <v>1961</v>
      </c>
      <c r="G107" t="s">
        <v>1962</v>
      </c>
      <c r="H107">
        <v>-1</v>
      </c>
      <c r="I107" t="s">
        <v>1929</v>
      </c>
      <c r="J107" t="s">
        <v>788</v>
      </c>
      <c r="K107">
        <v>0</v>
      </c>
      <c r="L107">
        <v>-1</v>
      </c>
      <c r="M107">
        <v>-1</v>
      </c>
      <c r="N107">
        <v>-1</v>
      </c>
      <c r="O107">
        <v>-1</v>
      </c>
      <c r="P107" t="str">
        <f t="shared" ref="P107" si="75">LEFT(G107,3)</f>
        <v>1d3</v>
      </c>
      <c r="Q107">
        <f t="shared" ref="Q107" si="76">IF(P107=G107,0,VALUE( SUBSTITUTE(G107,P107,"") ))</f>
        <v>0</v>
      </c>
      <c r="R107">
        <v>-1</v>
      </c>
      <c r="S107">
        <v>-1</v>
      </c>
      <c r="T107">
        <v>0</v>
      </c>
      <c r="U107">
        <v>0</v>
      </c>
      <c r="V107">
        <v>0</v>
      </c>
      <c r="W107">
        <v>0</v>
      </c>
      <c r="X107">
        <v>-1</v>
      </c>
      <c r="Y107">
        <v>-1</v>
      </c>
    </row>
    <row r="108" spans="2:25">
      <c r="B108" t="s">
        <v>2136</v>
      </c>
      <c r="C108" t="s">
        <v>619</v>
      </c>
      <c r="D108" t="s">
        <v>1751</v>
      </c>
      <c r="E108" t="s">
        <v>1947</v>
      </c>
      <c r="F108" t="s">
        <v>1961</v>
      </c>
      <c r="G108" t="s">
        <v>1933</v>
      </c>
      <c r="H108">
        <v>-2</v>
      </c>
      <c r="I108" t="s">
        <v>1929</v>
      </c>
      <c r="J108" t="s">
        <v>2137</v>
      </c>
      <c r="K108">
        <v>0</v>
      </c>
      <c r="L108">
        <v>-1</v>
      </c>
      <c r="M108">
        <v>-1</v>
      </c>
      <c r="N108">
        <v>0</v>
      </c>
      <c r="O108">
        <v>-1</v>
      </c>
      <c r="P108" t="str">
        <f t="shared" ref="P108" si="77">LEFT(G108,3)</f>
        <v>1d3</v>
      </c>
      <c r="Q108">
        <f t="shared" ref="Q108" si="78">IF(P108=G108,0,VALUE( SUBSTITUTE(G108,P108,"") ))</f>
        <v>2</v>
      </c>
      <c r="R108">
        <v>-1</v>
      </c>
      <c r="S108">
        <v>-1</v>
      </c>
      <c r="T108">
        <v>0</v>
      </c>
      <c r="U108">
        <v>0</v>
      </c>
      <c r="V108">
        <v>0</v>
      </c>
      <c r="W108">
        <v>0</v>
      </c>
      <c r="X108">
        <v>-1</v>
      </c>
      <c r="Y108">
        <v>-1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2:W25"/>
  <sheetViews>
    <sheetView workbookViewId="0">
      <selection activeCell="G10" sqref="G10"/>
    </sheetView>
  </sheetViews>
  <sheetFormatPr defaultRowHeight="13"/>
  <cols>
    <col min="2" max="2" width="13.26953125" bestFit="1" customWidth="1"/>
    <col min="13" max="13" width="39.7265625" customWidth="1"/>
    <col min="14" max="14" width="11.36328125" bestFit="1" customWidth="1"/>
    <col min="15" max="15" width="11.36328125" customWidth="1"/>
  </cols>
  <sheetData>
    <row r="2" spans="2:23">
      <c r="B2" t="s">
        <v>2</v>
      </c>
      <c r="C2" t="s">
        <v>384</v>
      </c>
      <c r="D2" t="s">
        <v>431</v>
      </c>
      <c r="E2" t="s">
        <v>382</v>
      </c>
      <c r="F2" t="s">
        <v>424</v>
      </c>
      <c r="G2" t="s">
        <v>416</v>
      </c>
      <c r="H2" t="s">
        <v>417</v>
      </c>
      <c r="I2" t="s">
        <v>425</v>
      </c>
      <c r="J2" t="s">
        <v>389</v>
      </c>
      <c r="K2" t="s">
        <v>426</v>
      </c>
      <c r="L2" t="s">
        <v>427</v>
      </c>
      <c r="M2" t="s">
        <v>388</v>
      </c>
      <c r="N2" t="s">
        <v>403</v>
      </c>
      <c r="O2" t="s">
        <v>404</v>
      </c>
      <c r="P2" t="s">
        <v>405</v>
      </c>
      <c r="Q2" t="s">
        <v>406</v>
      </c>
      <c r="R2" t="s">
        <v>407</v>
      </c>
      <c r="S2" t="s">
        <v>408</v>
      </c>
      <c r="T2" t="s">
        <v>205</v>
      </c>
      <c r="U2" t="s">
        <v>409</v>
      </c>
      <c r="V2" t="s">
        <v>410</v>
      </c>
      <c r="W2" t="s">
        <v>412</v>
      </c>
    </row>
    <row r="3" spans="2:23">
      <c r="B3" t="s">
        <v>788</v>
      </c>
      <c r="C3" t="str">
        <f>"-"</f>
        <v>-</v>
      </c>
      <c r="D3" t="str">
        <f>"-"</f>
        <v>-</v>
      </c>
      <c r="E3" t="str">
        <f>"-"</f>
        <v>-</v>
      </c>
      <c r="F3">
        <v>0</v>
      </c>
      <c r="G3">
        <v>0</v>
      </c>
      <c r="H3">
        <v>0</v>
      </c>
      <c r="I3" t="s">
        <v>1739</v>
      </c>
      <c r="J3">
        <v>0</v>
      </c>
      <c r="K3">
        <v>0</v>
      </c>
      <c r="L3">
        <v>100</v>
      </c>
      <c r="M3" t="str">
        <f>"-"</f>
        <v>-</v>
      </c>
      <c r="N3">
        <f>VLOOKUP(I3,固定値!$DN$2:$DO$4,2,FALSE)</f>
        <v>0</v>
      </c>
      <c r="O3">
        <f>VLOOKUP(E3,固定値!$DP$2:$DQ$4,2,FALSE)</f>
        <v>0</v>
      </c>
      <c r="P3">
        <v>-1</v>
      </c>
      <c r="Q3">
        <v>-1</v>
      </c>
      <c r="R3">
        <v>-1</v>
      </c>
      <c r="S3">
        <v>-1</v>
      </c>
      <c r="T3">
        <v>-1</v>
      </c>
      <c r="U3">
        <v>-1</v>
      </c>
      <c r="V3">
        <f>VLOOKUP(E3,固定値!$DP$2:$DR$4,3,FALSE)</f>
        <v>0</v>
      </c>
      <c r="W3">
        <f>VLOOKUP(E3,固定値!$DP$2:$DS$4,4,FALSE)</f>
        <v>0</v>
      </c>
    </row>
    <row r="4" spans="2:23">
      <c r="B4" t="s">
        <v>826</v>
      </c>
      <c r="C4" t="s">
        <v>627</v>
      </c>
      <c r="D4" t="s">
        <v>2044</v>
      </c>
      <c r="E4" t="s">
        <v>1751</v>
      </c>
      <c r="F4">
        <v>1</v>
      </c>
      <c r="G4">
        <v>-1</v>
      </c>
      <c r="H4">
        <v>0</v>
      </c>
      <c r="I4" t="s">
        <v>1750</v>
      </c>
      <c r="J4">
        <v>12</v>
      </c>
      <c r="K4">
        <v>0</v>
      </c>
      <c r="L4">
        <v>100</v>
      </c>
      <c r="M4" t="s">
        <v>20</v>
      </c>
      <c r="N4">
        <f>VLOOKUP(I4,固定値!$DN$2:$DO$4,2,FALSE)</f>
        <v>-4</v>
      </c>
      <c r="O4">
        <f>VLOOKUP(E4,固定値!$DP$2:$DQ$4,2,FALSE)</f>
        <v>-4</v>
      </c>
      <c r="P4">
        <v>-1</v>
      </c>
      <c r="Q4">
        <v>-1</v>
      </c>
      <c r="R4">
        <v>-1</v>
      </c>
      <c r="S4">
        <v>-1</v>
      </c>
      <c r="T4">
        <v>-1</v>
      </c>
      <c r="U4">
        <v>-1</v>
      </c>
      <c r="V4">
        <f>VLOOKUP(E4,固定値!$DP$2:$DR$4,3,FALSE)</f>
        <v>0</v>
      </c>
      <c r="W4">
        <f>VLOOKUP(E4,固定値!$DP$2:$DS$4,4,FALSE)</f>
        <v>0</v>
      </c>
    </row>
    <row r="5" spans="2:23">
      <c r="B5" t="s">
        <v>870</v>
      </c>
      <c r="C5" t="s">
        <v>627</v>
      </c>
      <c r="D5" t="s">
        <v>2044</v>
      </c>
      <c r="E5" t="s">
        <v>1751</v>
      </c>
      <c r="F5">
        <v>1</v>
      </c>
      <c r="G5">
        <v>0</v>
      </c>
      <c r="H5">
        <v>-2</v>
      </c>
      <c r="I5" t="s">
        <v>1739</v>
      </c>
      <c r="J5">
        <v>15</v>
      </c>
      <c r="K5">
        <v>0</v>
      </c>
      <c r="L5">
        <v>100</v>
      </c>
      <c r="M5" t="s">
        <v>20</v>
      </c>
      <c r="N5">
        <f>VLOOKUP(I5,固定値!$DN$2:$DO$4,2,FALSE)</f>
        <v>0</v>
      </c>
      <c r="O5">
        <f>VLOOKUP(E5,固定値!$DP$2:$DQ$4,2,FALSE)</f>
        <v>-4</v>
      </c>
      <c r="P5">
        <v>-1</v>
      </c>
      <c r="Q5">
        <v>-1</v>
      </c>
      <c r="R5">
        <v>-1</v>
      </c>
      <c r="S5">
        <v>-1</v>
      </c>
      <c r="T5">
        <v>-1</v>
      </c>
      <c r="U5">
        <v>-1</v>
      </c>
      <c r="V5">
        <f>VLOOKUP(E5,固定値!$DP$2:$DR$4,3,FALSE)</f>
        <v>0</v>
      </c>
      <c r="W5">
        <f>VLOOKUP(E5,固定値!$DP$2:$DS$4,4,FALSE)</f>
        <v>0</v>
      </c>
    </row>
    <row r="6" spans="2:23">
      <c r="B6" t="s">
        <v>912</v>
      </c>
      <c r="C6" t="s">
        <v>627</v>
      </c>
      <c r="D6" t="s">
        <v>2044</v>
      </c>
      <c r="E6" t="s">
        <v>1751</v>
      </c>
      <c r="F6">
        <v>2</v>
      </c>
      <c r="G6">
        <v>-1</v>
      </c>
      <c r="H6">
        <v>0</v>
      </c>
      <c r="I6" t="s">
        <v>1750</v>
      </c>
      <c r="J6">
        <v>25</v>
      </c>
      <c r="K6">
        <v>0</v>
      </c>
      <c r="L6">
        <v>100</v>
      </c>
      <c r="M6" t="s">
        <v>20</v>
      </c>
      <c r="N6">
        <f>VLOOKUP(I6,固定値!$DN$2:$DO$4,2,FALSE)</f>
        <v>-4</v>
      </c>
      <c r="O6">
        <f>VLOOKUP(E6,固定値!$DP$2:$DQ$4,2,FALSE)</f>
        <v>-4</v>
      </c>
      <c r="P6">
        <v>-1</v>
      </c>
      <c r="Q6">
        <v>-1</v>
      </c>
      <c r="R6">
        <v>-1</v>
      </c>
      <c r="S6">
        <v>-1</v>
      </c>
      <c r="T6">
        <v>-1</v>
      </c>
      <c r="U6">
        <v>-1</v>
      </c>
      <c r="V6">
        <f>VLOOKUP(E6,固定値!$DP$2:$DR$4,3,FALSE)</f>
        <v>0</v>
      </c>
      <c r="W6">
        <f>VLOOKUP(E6,固定値!$DP$2:$DS$4,4,FALSE)</f>
        <v>0</v>
      </c>
    </row>
    <row r="7" spans="2:23">
      <c r="B7" t="s">
        <v>954</v>
      </c>
      <c r="C7" t="s">
        <v>627</v>
      </c>
      <c r="D7" t="s">
        <v>2044</v>
      </c>
      <c r="E7" t="s">
        <v>1751</v>
      </c>
      <c r="F7">
        <v>2</v>
      </c>
      <c r="G7">
        <v>0</v>
      </c>
      <c r="H7">
        <v>0</v>
      </c>
      <c r="I7" t="s">
        <v>1750</v>
      </c>
      <c r="J7">
        <v>30</v>
      </c>
      <c r="K7">
        <v>0</v>
      </c>
      <c r="L7">
        <v>100</v>
      </c>
      <c r="M7" t="s">
        <v>20</v>
      </c>
      <c r="N7">
        <f>VLOOKUP(I7,固定値!$DN$2:$DO$4,2,FALSE)</f>
        <v>-4</v>
      </c>
      <c r="O7">
        <f>VLOOKUP(E7,固定値!$DP$2:$DQ$4,2,FALSE)</f>
        <v>-4</v>
      </c>
      <c r="P7">
        <v>-1</v>
      </c>
      <c r="Q7">
        <v>-1</v>
      </c>
      <c r="R7">
        <v>-1</v>
      </c>
      <c r="S7">
        <v>-1</v>
      </c>
      <c r="T7">
        <v>-1</v>
      </c>
      <c r="U7">
        <v>-1</v>
      </c>
      <c r="V7">
        <f>VLOOKUP(E7,固定値!$DP$2:$DR$4,3,FALSE)</f>
        <v>0</v>
      </c>
      <c r="W7">
        <f>VLOOKUP(E7,固定値!$DP$2:$DS$4,4,FALSE)</f>
        <v>0</v>
      </c>
    </row>
    <row r="8" spans="2:23">
      <c r="B8" t="s">
        <v>996</v>
      </c>
      <c r="C8" t="s">
        <v>627</v>
      </c>
      <c r="D8" t="s">
        <v>2044</v>
      </c>
      <c r="E8" t="s">
        <v>1751</v>
      </c>
      <c r="F8">
        <v>1</v>
      </c>
      <c r="G8">
        <v>-1</v>
      </c>
      <c r="H8">
        <v>0</v>
      </c>
      <c r="I8" t="s">
        <v>1750</v>
      </c>
      <c r="J8">
        <v>25</v>
      </c>
      <c r="K8">
        <v>0</v>
      </c>
      <c r="L8">
        <v>100</v>
      </c>
      <c r="M8" t="s">
        <v>2045</v>
      </c>
      <c r="N8">
        <f>VLOOKUP(I8,固定値!$DN$2:$DO$4,2,FALSE)</f>
        <v>-4</v>
      </c>
      <c r="O8">
        <f>VLOOKUP(E8,固定値!$DP$2:$DQ$4,2,FALSE)</f>
        <v>-4</v>
      </c>
      <c r="P8">
        <v>1</v>
      </c>
      <c r="Q8">
        <v>-1</v>
      </c>
      <c r="R8">
        <v>-1</v>
      </c>
      <c r="S8">
        <v>-1</v>
      </c>
      <c r="T8">
        <v>-1</v>
      </c>
      <c r="U8">
        <v>-1</v>
      </c>
      <c r="V8">
        <f>VLOOKUP(E8,固定値!$DP$2:$DR$4,3,FALSE)</f>
        <v>0</v>
      </c>
      <c r="W8">
        <f>VLOOKUP(E8,固定値!$DP$2:$DS$4,4,FALSE)</f>
        <v>0</v>
      </c>
    </row>
    <row r="9" spans="2:23">
      <c r="B9" t="s">
        <v>1031</v>
      </c>
      <c r="C9" t="s">
        <v>627</v>
      </c>
      <c r="D9" t="s">
        <v>2044</v>
      </c>
      <c r="E9" t="s">
        <v>1751</v>
      </c>
      <c r="F9">
        <v>2</v>
      </c>
      <c r="G9">
        <v>-1</v>
      </c>
      <c r="H9">
        <v>-4</v>
      </c>
      <c r="I9" t="s">
        <v>1758</v>
      </c>
      <c r="J9">
        <v>80</v>
      </c>
      <c r="K9">
        <v>0</v>
      </c>
      <c r="L9">
        <v>100</v>
      </c>
      <c r="M9" t="s">
        <v>2046</v>
      </c>
      <c r="N9">
        <f>VLOOKUP(I9,固定値!$DN$2:$DO$4,2,FALSE)</f>
        <v>-8</v>
      </c>
      <c r="O9">
        <f>VLOOKUP(E9,固定値!$DP$2:$DQ$4,2,FALSE)</f>
        <v>-4</v>
      </c>
      <c r="P9">
        <v>-1</v>
      </c>
      <c r="Q9">
        <v>2</v>
      </c>
      <c r="R9">
        <v>-1</v>
      </c>
      <c r="S9">
        <v>-1</v>
      </c>
      <c r="T9">
        <v>-1</v>
      </c>
      <c r="U9">
        <v>-1</v>
      </c>
      <c r="V9">
        <f>VLOOKUP(E9,固定値!$DP$2:$DR$4,3,FALSE)</f>
        <v>0</v>
      </c>
      <c r="W9">
        <f>VLOOKUP(E9,固定値!$DP$2:$DS$4,4,FALSE)</f>
        <v>0</v>
      </c>
    </row>
    <row r="10" spans="2:23">
      <c r="B10" t="s">
        <v>827</v>
      </c>
      <c r="C10" t="s">
        <v>628</v>
      </c>
      <c r="D10" t="s">
        <v>2044</v>
      </c>
      <c r="E10" t="s">
        <v>1751</v>
      </c>
      <c r="F10">
        <v>2</v>
      </c>
      <c r="G10">
        <v>0</v>
      </c>
      <c r="H10">
        <v>0</v>
      </c>
      <c r="I10" t="s">
        <v>1739</v>
      </c>
      <c r="J10">
        <v>35</v>
      </c>
      <c r="K10">
        <v>0</v>
      </c>
      <c r="L10">
        <v>100</v>
      </c>
      <c r="M10" t="s">
        <v>2047</v>
      </c>
      <c r="N10">
        <f>VLOOKUP(I10,固定値!$DN$2:$DO$4,2,FALSE)</f>
        <v>0</v>
      </c>
      <c r="O10">
        <f>VLOOKUP(E10,固定値!$DP$2:$DQ$4,2,FALSE)</f>
        <v>-4</v>
      </c>
      <c r="P10">
        <v>-1</v>
      </c>
      <c r="Q10">
        <v>-1</v>
      </c>
      <c r="R10">
        <v>2</v>
      </c>
      <c r="S10">
        <v>-1</v>
      </c>
      <c r="T10">
        <v>-1</v>
      </c>
      <c r="U10">
        <v>-1</v>
      </c>
      <c r="V10">
        <f>VLOOKUP(E10,固定値!$DP$2:$DR$4,3,FALSE)</f>
        <v>0</v>
      </c>
      <c r="W10">
        <f>VLOOKUP(E10,固定値!$DP$2:$DS$4,4,FALSE)</f>
        <v>0</v>
      </c>
    </row>
    <row r="11" spans="2:23">
      <c r="B11" t="s">
        <v>871</v>
      </c>
      <c r="C11" t="s">
        <v>628</v>
      </c>
      <c r="D11" t="s">
        <v>2048</v>
      </c>
      <c r="E11" t="s">
        <v>1751</v>
      </c>
      <c r="F11">
        <v>2</v>
      </c>
      <c r="G11">
        <v>0</v>
      </c>
      <c r="H11">
        <v>0</v>
      </c>
      <c r="I11" t="s">
        <v>1750</v>
      </c>
      <c r="J11">
        <v>40</v>
      </c>
      <c r="K11">
        <v>0</v>
      </c>
      <c r="L11">
        <v>100</v>
      </c>
      <c r="M11" t="s">
        <v>2049</v>
      </c>
      <c r="N11">
        <f>VLOOKUP(I11,固定値!$DN$2:$DO$4,2,FALSE)</f>
        <v>-4</v>
      </c>
      <c r="O11">
        <f>VLOOKUP(E11,固定値!$DP$2:$DQ$4,2,FALSE)</f>
        <v>-4</v>
      </c>
      <c r="P11">
        <v>-1</v>
      </c>
      <c r="Q11">
        <v>-1</v>
      </c>
      <c r="R11">
        <v>-1</v>
      </c>
      <c r="S11">
        <v>1</v>
      </c>
      <c r="T11">
        <v>-1</v>
      </c>
      <c r="U11">
        <v>-1</v>
      </c>
      <c r="V11">
        <f>VLOOKUP(E11,固定値!$DP$2:$DR$4,3,FALSE)</f>
        <v>0</v>
      </c>
      <c r="W11">
        <f>VLOOKUP(E11,固定値!$DP$2:$DS$4,4,FALSE)</f>
        <v>0</v>
      </c>
    </row>
    <row r="12" spans="2:23">
      <c r="B12" t="s">
        <v>913</v>
      </c>
      <c r="C12" t="s">
        <v>628</v>
      </c>
      <c r="D12" t="s">
        <v>2048</v>
      </c>
      <c r="E12" t="s">
        <v>1751</v>
      </c>
      <c r="F12">
        <v>2</v>
      </c>
      <c r="G12">
        <v>0</v>
      </c>
      <c r="H12">
        <v>0</v>
      </c>
      <c r="I12" t="s">
        <v>1750</v>
      </c>
      <c r="J12">
        <v>30</v>
      </c>
      <c r="K12">
        <v>0</v>
      </c>
      <c r="L12">
        <v>100</v>
      </c>
      <c r="M12" t="s">
        <v>20</v>
      </c>
      <c r="N12">
        <f>VLOOKUP(I12,固定値!$DN$2:$DO$4,2,FALSE)</f>
        <v>-4</v>
      </c>
      <c r="O12">
        <f>VLOOKUP(E12,固定値!$DP$2:$DQ$4,2,FALSE)</f>
        <v>-4</v>
      </c>
      <c r="P12">
        <v>-1</v>
      </c>
      <c r="Q12">
        <v>-1</v>
      </c>
      <c r="R12">
        <v>-1</v>
      </c>
      <c r="S12">
        <v>-1</v>
      </c>
      <c r="T12">
        <v>-1</v>
      </c>
      <c r="U12">
        <v>-1</v>
      </c>
      <c r="V12">
        <f>VLOOKUP(E12,固定値!$DP$2:$DR$4,3,FALSE)</f>
        <v>0</v>
      </c>
      <c r="W12">
        <f>VLOOKUP(E12,固定値!$DP$2:$DS$4,4,FALSE)</f>
        <v>0</v>
      </c>
    </row>
    <row r="13" spans="2:23">
      <c r="B13" t="s">
        <v>955</v>
      </c>
      <c r="C13" t="s">
        <v>628</v>
      </c>
      <c r="D13" t="s">
        <v>2048</v>
      </c>
      <c r="E13" t="s">
        <v>1751</v>
      </c>
      <c r="F13">
        <v>3</v>
      </c>
      <c r="G13">
        <v>-2</v>
      </c>
      <c r="H13">
        <v>0</v>
      </c>
      <c r="I13" t="s">
        <v>1750</v>
      </c>
      <c r="J13">
        <v>40</v>
      </c>
      <c r="K13">
        <v>5</v>
      </c>
      <c r="L13">
        <v>8</v>
      </c>
      <c r="M13" t="s">
        <v>2050</v>
      </c>
      <c r="N13">
        <f>VLOOKUP(I13,固定値!$DN$2:$DO$4,2,FALSE)</f>
        <v>-4</v>
      </c>
      <c r="O13">
        <f>VLOOKUP(E13,固定値!$DP$2:$DQ$4,2,FALSE)</f>
        <v>-4</v>
      </c>
      <c r="P13">
        <v>-1</v>
      </c>
      <c r="Q13">
        <v>-1</v>
      </c>
      <c r="R13">
        <v>-1</v>
      </c>
      <c r="S13">
        <v>-1</v>
      </c>
      <c r="T13">
        <v>-1</v>
      </c>
      <c r="U13">
        <v>-1</v>
      </c>
      <c r="V13">
        <f>VLOOKUP(E13,固定値!$DP$2:$DR$4,3,FALSE)</f>
        <v>0</v>
      </c>
      <c r="W13">
        <f>VLOOKUP(E13,固定値!$DP$2:$DS$4,4,FALSE)</f>
        <v>0</v>
      </c>
    </row>
    <row r="14" spans="2:23">
      <c r="B14" t="s">
        <v>997</v>
      </c>
      <c r="C14" t="s">
        <v>628</v>
      </c>
      <c r="D14" t="s">
        <v>2051</v>
      </c>
      <c r="E14" t="s">
        <v>1751</v>
      </c>
      <c r="F14">
        <v>3</v>
      </c>
      <c r="G14">
        <v>0</v>
      </c>
      <c r="H14">
        <v>-4</v>
      </c>
      <c r="I14" t="s">
        <v>1750</v>
      </c>
      <c r="J14">
        <v>85</v>
      </c>
      <c r="K14">
        <v>6</v>
      </c>
      <c r="L14">
        <v>10</v>
      </c>
      <c r="M14" t="s">
        <v>2052</v>
      </c>
      <c r="N14">
        <f>VLOOKUP(I14,固定値!$DN$2:$DO$4,2,FALSE)</f>
        <v>-4</v>
      </c>
      <c r="O14">
        <f>VLOOKUP(E14,固定値!$DP$2:$DQ$4,2,FALSE)</f>
        <v>-4</v>
      </c>
      <c r="P14">
        <v>-1</v>
      </c>
      <c r="Q14">
        <v>-1</v>
      </c>
      <c r="R14">
        <v>-1</v>
      </c>
      <c r="S14">
        <v>-1</v>
      </c>
      <c r="T14">
        <v>-1</v>
      </c>
      <c r="U14">
        <v>-1</v>
      </c>
      <c r="V14">
        <f>VLOOKUP(E14,固定値!$DP$2:$DR$4,3,FALSE)</f>
        <v>0</v>
      </c>
      <c r="W14">
        <f>VLOOKUP(E14,固定値!$DP$2:$DS$4,4,FALSE)</f>
        <v>0</v>
      </c>
    </row>
    <row r="15" spans="2:23">
      <c r="B15" t="s">
        <v>1032</v>
      </c>
      <c r="C15" t="s">
        <v>628</v>
      </c>
      <c r="D15" t="s">
        <v>2051</v>
      </c>
      <c r="E15" t="s">
        <v>1751</v>
      </c>
      <c r="F15">
        <v>3</v>
      </c>
      <c r="G15">
        <v>-1</v>
      </c>
      <c r="H15">
        <v>-2</v>
      </c>
      <c r="I15" t="s">
        <v>1750</v>
      </c>
      <c r="J15">
        <v>150</v>
      </c>
      <c r="K15">
        <v>4</v>
      </c>
      <c r="L15">
        <v>8</v>
      </c>
      <c r="M15" t="s">
        <v>2053</v>
      </c>
      <c r="N15">
        <f>VLOOKUP(I15,固定値!$DN$2:$DO$4,2,FALSE)</f>
        <v>-4</v>
      </c>
      <c r="O15">
        <f>VLOOKUP(E15,固定値!$DP$2:$DQ$4,2,FALSE)</f>
        <v>-4</v>
      </c>
      <c r="P15">
        <v>-1</v>
      </c>
      <c r="Q15">
        <v>-1</v>
      </c>
      <c r="R15">
        <v>-1</v>
      </c>
      <c r="S15">
        <v>-1</v>
      </c>
      <c r="T15">
        <v>2</v>
      </c>
      <c r="U15">
        <v>2</v>
      </c>
      <c r="V15">
        <f>VLOOKUP(E15,固定値!$DP$2:$DR$4,3,FALSE)</f>
        <v>0</v>
      </c>
      <c r="W15">
        <f>VLOOKUP(E15,固定値!$DP$2:$DS$4,4,FALSE)</f>
        <v>0</v>
      </c>
    </row>
    <row r="16" spans="2:23">
      <c r="B16" t="s">
        <v>1067</v>
      </c>
      <c r="C16" t="s">
        <v>628</v>
      </c>
      <c r="D16" t="s">
        <v>2048</v>
      </c>
      <c r="E16" t="s">
        <v>1751</v>
      </c>
      <c r="F16">
        <v>4</v>
      </c>
      <c r="G16">
        <v>-2</v>
      </c>
      <c r="H16">
        <v>-4</v>
      </c>
      <c r="I16" t="s">
        <v>1750</v>
      </c>
      <c r="J16">
        <v>60</v>
      </c>
      <c r="K16">
        <v>6</v>
      </c>
      <c r="L16">
        <v>10</v>
      </c>
      <c r="M16" t="s">
        <v>2054</v>
      </c>
      <c r="N16">
        <f>VLOOKUP(I16,固定値!$DN$2:$DO$4,2,FALSE)</f>
        <v>-4</v>
      </c>
      <c r="O16">
        <f>VLOOKUP(E16,固定値!$DP$2:$DQ$4,2,FALSE)</f>
        <v>-4</v>
      </c>
      <c r="P16">
        <v>-1</v>
      </c>
      <c r="Q16">
        <v>-1</v>
      </c>
      <c r="R16">
        <v>-1</v>
      </c>
      <c r="S16">
        <v>-1</v>
      </c>
      <c r="T16">
        <v>-1</v>
      </c>
      <c r="U16">
        <v>-1</v>
      </c>
      <c r="V16">
        <f>VLOOKUP(E16,固定値!$DP$2:$DR$4,3,FALSE)</f>
        <v>0</v>
      </c>
      <c r="W16">
        <f>VLOOKUP(E16,固定値!$DP$2:$DS$4,4,FALSE)</f>
        <v>0</v>
      </c>
    </row>
    <row r="17" spans="2:23">
      <c r="B17" t="s">
        <v>828</v>
      </c>
      <c r="C17" t="s">
        <v>2055</v>
      </c>
      <c r="D17" t="s">
        <v>2051</v>
      </c>
      <c r="E17" t="s">
        <v>1759</v>
      </c>
      <c r="F17">
        <v>4</v>
      </c>
      <c r="G17">
        <v>-2</v>
      </c>
      <c r="H17">
        <v>-6</v>
      </c>
      <c r="I17" t="s">
        <v>1758</v>
      </c>
      <c r="J17">
        <v>85</v>
      </c>
      <c r="K17">
        <v>8</v>
      </c>
      <c r="L17">
        <v>16</v>
      </c>
      <c r="M17" t="s">
        <v>2056</v>
      </c>
      <c r="N17">
        <f>VLOOKUP(I17,固定値!$DN$2:$DO$4,2,FALSE)</f>
        <v>-8</v>
      </c>
      <c r="O17">
        <f>VLOOKUP(E17,固定値!$DP$2:$DQ$4,2,FALSE)</f>
        <v>-12</v>
      </c>
      <c r="P17">
        <v>-1</v>
      </c>
      <c r="Q17">
        <v>-1</v>
      </c>
      <c r="R17">
        <v>-1</v>
      </c>
      <c r="S17">
        <v>-1</v>
      </c>
      <c r="T17">
        <v>-1</v>
      </c>
      <c r="U17">
        <v>-1</v>
      </c>
      <c r="V17">
        <f>VLOOKUP(E17,固定値!$DP$2:$DR$4,3,FALSE)</f>
        <v>-4</v>
      </c>
      <c r="W17">
        <f>VLOOKUP(E17,固定値!$DP$2:$DS$4,4,FALSE)</f>
        <v>-4</v>
      </c>
    </row>
    <row r="18" spans="2:23">
      <c r="B18" t="s">
        <v>872</v>
      </c>
      <c r="C18" t="s">
        <v>2055</v>
      </c>
      <c r="D18" t="s">
        <v>2051</v>
      </c>
      <c r="E18" t="s">
        <v>1759</v>
      </c>
      <c r="F18">
        <v>4</v>
      </c>
      <c r="G18">
        <v>-2</v>
      </c>
      <c r="H18">
        <v>-4</v>
      </c>
      <c r="I18" t="s">
        <v>1758</v>
      </c>
      <c r="J18">
        <v>120</v>
      </c>
      <c r="K18">
        <v>6</v>
      </c>
      <c r="L18">
        <v>12</v>
      </c>
      <c r="M18" t="s">
        <v>2057</v>
      </c>
      <c r="N18">
        <f>VLOOKUP(I18,固定値!$DN$2:$DO$4,2,FALSE)</f>
        <v>-8</v>
      </c>
      <c r="O18">
        <f>VLOOKUP(E18,固定値!$DP$2:$DQ$4,2,FALSE)</f>
        <v>-12</v>
      </c>
      <c r="P18">
        <v>-1</v>
      </c>
      <c r="Q18">
        <v>-1</v>
      </c>
      <c r="R18">
        <v>-1</v>
      </c>
      <c r="S18">
        <v>-1</v>
      </c>
      <c r="T18">
        <v>-1</v>
      </c>
      <c r="U18">
        <v>-1</v>
      </c>
      <c r="V18">
        <f>VLOOKUP(E18,固定値!$DP$2:$DR$4,3,FALSE)</f>
        <v>-4</v>
      </c>
      <c r="W18">
        <f>VLOOKUP(E18,固定値!$DP$2:$DS$4,4,FALSE)</f>
        <v>-4</v>
      </c>
    </row>
    <row r="19" spans="2:23">
      <c r="B19" t="s">
        <v>914</v>
      </c>
      <c r="C19" t="s">
        <v>2055</v>
      </c>
      <c r="D19" t="s">
        <v>2051</v>
      </c>
      <c r="E19" t="s">
        <v>1759</v>
      </c>
      <c r="F19">
        <v>4</v>
      </c>
      <c r="G19">
        <v>-2</v>
      </c>
      <c r="H19">
        <v>-2</v>
      </c>
      <c r="I19" t="s">
        <v>1758</v>
      </c>
      <c r="J19">
        <v>135</v>
      </c>
      <c r="K19">
        <v>6</v>
      </c>
      <c r="L19">
        <v>10</v>
      </c>
      <c r="M19" t="s">
        <v>2054</v>
      </c>
      <c r="N19">
        <f>VLOOKUP(I19,固定値!$DN$2:$DO$4,2,FALSE)</f>
        <v>-8</v>
      </c>
      <c r="O19">
        <f>VLOOKUP(E19,固定値!$DP$2:$DQ$4,2,FALSE)</f>
        <v>-12</v>
      </c>
      <c r="P19">
        <v>-1</v>
      </c>
      <c r="Q19">
        <v>-1</v>
      </c>
      <c r="R19">
        <v>-1</v>
      </c>
      <c r="S19">
        <v>-1</v>
      </c>
      <c r="T19">
        <v>-1</v>
      </c>
      <c r="U19">
        <v>-1</v>
      </c>
      <c r="V19">
        <f>VLOOKUP(E19,固定値!$DP$2:$DR$4,3,FALSE)</f>
        <v>-4</v>
      </c>
      <c r="W19">
        <f>VLOOKUP(E19,固定値!$DP$2:$DS$4,4,FALSE)</f>
        <v>-4</v>
      </c>
    </row>
    <row r="20" spans="2:23">
      <c r="B20" t="s">
        <v>956</v>
      </c>
      <c r="C20" t="s">
        <v>2055</v>
      </c>
      <c r="D20" t="s">
        <v>2051</v>
      </c>
      <c r="E20" t="s">
        <v>1759</v>
      </c>
      <c r="F20">
        <v>5</v>
      </c>
      <c r="G20">
        <v>-2</v>
      </c>
      <c r="H20">
        <v>-4</v>
      </c>
      <c r="I20" t="s">
        <v>1750</v>
      </c>
      <c r="J20">
        <v>195</v>
      </c>
      <c r="K20">
        <v>7</v>
      </c>
      <c r="L20">
        <v>12</v>
      </c>
      <c r="M20" t="s">
        <v>2058</v>
      </c>
      <c r="N20">
        <f>VLOOKUP(I20,固定値!$DN$2:$DO$4,2,FALSE)</f>
        <v>-4</v>
      </c>
      <c r="O20">
        <f>VLOOKUP(E20,固定値!$DP$2:$DQ$4,2,FALSE)</f>
        <v>-12</v>
      </c>
      <c r="P20">
        <v>-1</v>
      </c>
      <c r="Q20">
        <v>-1</v>
      </c>
      <c r="R20">
        <v>-1</v>
      </c>
      <c r="S20">
        <v>-1</v>
      </c>
      <c r="T20">
        <v>-1</v>
      </c>
      <c r="U20">
        <v>-1</v>
      </c>
      <c r="V20">
        <f>VLOOKUP(E20,固定値!$DP$2:$DR$4,3,FALSE)</f>
        <v>-4</v>
      </c>
      <c r="W20">
        <f>VLOOKUP(E20,固定値!$DP$2:$DS$4,4,FALSE)</f>
        <v>-4</v>
      </c>
    </row>
    <row r="21" spans="2:23">
      <c r="B21" t="s">
        <v>998</v>
      </c>
      <c r="C21" t="s">
        <v>2055</v>
      </c>
      <c r="D21" t="s">
        <v>2051</v>
      </c>
      <c r="E21" t="s">
        <v>1759</v>
      </c>
      <c r="F21">
        <v>6</v>
      </c>
      <c r="G21">
        <v>-2</v>
      </c>
      <c r="H21">
        <v>-4</v>
      </c>
      <c r="I21" t="s">
        <v>1750</v>
      </c>
      <c r="J21">
        <v>270</v>
      </c>
      <c r="K21">
        <v>7</v>
      </c>
      <c r="L21">
        <v>14</v>
      </c>
      <c r="M21" t="s">
        <v>2059</v>
      </c>
      <c r="N21">
        <f>VLOOKUP(I21,固定値!$DN$2:$DO$4,2,FALSE)</f>
        <v>-4</v>
      </c>
      <c r="O21">
        <f>VLOOKUP(E21,固定値!$DP$2:$DQ$4,2,FALSE)</f>
        <v>-12</v>
      </c>
      <c r="P21">
        <v>-1</v>
      </c>
      <c r="Q21">
        <v>-1</v>
      </c>
      <c r="R21">
        <v>-1</v>
      </c>
      <c r="S21">
        <v>-1</v>
      </c>
      <c r="T21">
        <v>-1</v>
      </c>
      <c r="U21">
        <v>-1</v>
      </c>
      <c r="V21">
        <f>VLOOKUP(E21,固定値!$DP$2:$DR$4,3,FALSE)</f>
        <v>-4</v>
      </c>
      <c r="W21">
        <f>VLOOKUP(E21,固定値!$DP$2:$DS$4,4,FALSE)</f>
        <v>-4</v>
      </c>
    </row>
    <row r="22" spans="2:23">
      <c r="B22" t="s">
        <v>1033</v>
      </c>
      <c r="C22" t="s">
        <v>2055</v>
      </c>
      <c r="D22" t="s">
        <v>2051</v>
      </c>
      <c r="E22" t="s">
        <v>1759</v>
      </c>
      <c r="F22">
        <v>7</v>
      </c>
      <c r="G22">
        <v>-4</v>
      </c>
      <c r="H22">
        <v>-10</v>
      </c>
      <c r="I22" t="s">
        <v>1758</v>
      </c>
      <c r="J22">
        <v>460</v>
      </c>
      <c r="K22">
        <v>9</v>
      </c>
      <c r="L22">
        <v>16</v>
      </c>
      <c r="M22" t="s">
        <v>2060</v>
      </c>
      <c r="N22">
        <f>VLOOKUP(I22,固定値!$DN$2:$DO$4,2,FALSE)</f>
        <v>-8</v>
      </c>
      <c r="O22">
        <f>VLOOKUP(E22,固定値!$DP$2:$DQ$4,2,FALSE)</f>
        <v>-12</v>
      </c>
      <c r="P22">
        <v>-1</v>
      </c>
      <c r="Q22">
        <v>-1</v>
      </c>
      <c r="R22">
        <v>-1</v>
      </c>
      <c r="S22">
        <v>-1</v>
      </c>
      <c r="T22">
        <v>-1</v>
      </c>
      <c r="U22">
        <v>-1</v>
      </c>
      <c r="V22">
        <f>VLOOKUP(E22,固定値!$DP$2:$DR$4,3,FALSE)</f>
        <v>-4</v>
      </c>
      <c r="W22">
        <f>VLOOKUP(E22,固定値!$DP$2:$DS$4,4,FALSE)</f>
        <v>-4</v>
      </c>
    </row>
    <row r="23" spans="2:23">
      <c r="B23" t="s">
        <v>1068</v>
      </c>
      <c r="C23" t="s">
        <v>2055</v>
      </c>
      <c r="D23" t="s">
        <v>2051</v>
      </c>
      <c r="E23" t="s">
        <v>1759</v>
      </c>
      <c r="F23">
        <v>7</v>
      </c>
      <c r="G23">
        <v>-4</v>
      </c>
      <c r="H23">
        <v>-6</v>
      </c>
      <c r="I23" t="s">
        <v>1758</v>
      </c>
      <c r="J23">
        <v>600</v>
      </c>
      <c r="K23">
        <v>7</v>
      </c>
      <c r="L23">
        <v>12</v>
      </c>
      <c r="M23" t="s">
        <v>2061</v>
      </c>
      <c r="N23">
        <f>VLOOKUP(I23,固定値!$DN$2:$DO$4,2,FALSE)</f>
        <v>-8</v>
      </c>
      <c r="O23">
        <f>VLOOKUP(E23,固定値!$DP$2:$DQ$4,2,FALSE)</f>
        <v>-12</v>
      </c>
      <c r="P23">
        <v>-1</v>
      </c>
      <c r="Q23">
        <v>-1</v>
      </c>
      <c r="R23">
        <v>-1</v>
      </c>
      <c r="S23">
        <v>-1</v>
      </c>
      <c r="T23">
        <v>-1</v>
      </c>
      <c r="U23">
        <v>-1</v>
      </c>
      <c r="V23">
        <f>VLOOKUP(E23,固定値!$DP$2:$DR$4,3,FALSE)</f>
        <v>-4</v>
      </c>
      <c r="W23">
        <f>VLOOKUP(E23,固定値!$DP$2:$DS$4,4,FALSE)</f>
        <v>-4</v>
      </c>
    </row>
    <row r="24" spans="2:23">
      <c r="B24" t="s">
        <v>1100</v>
      </c>
      <c r="C24" t="s">
        <v>628</v>
      </c>
      <c r="D24" t="s">
        <v>2048</v>
      </c>
      <c r="E24" t="s">
        <v>1751</v>
      </c>
      <c r="F24">
        <v>5</v>
      </c>
      <c r="G24">
        <v>-1</v>
      </c>
      <c r="H24">
        <v>-4</v>
      </c>
      <c r="I24" t="s">
        <v>1750</v>
      </c>
      <c r="J24">
        <v>400</v>
      </c>
      <c r="K24">
        <v>6</v>
      </c>
      <c r="L24">
        <v>10</v>
      </c>
      <c r="M24" t="s">
        <v>2054</v>
      </c>
      <c r="N24">
        <f>VLOOKUP(I24,固定値!$DN$2:$DO$4,2,FALSE)</f>
        <v>-4</v>
      </c>
      <c r="O24">
        <f>VLOOKUP(E24,固定値!$DP$2:$DQ$4,2,FALSE)</f>
        <v>-4</v>
      </c>
      <c r="P24">
        <v>-1</v>
      </c>
      <c r="Q24">
        <v>-1</v>
      </c>
      <c r="R24">
        <v>-1</v>
      </c>
      <c r="S24">
        <v>-1</v>
      </c>
      <c r="T24">
        <v>-1</v>
      </c>
      <c r="U24">
        <v>-1</v>
      </c>
      <c r="V24">
        <f>VLOOKUP(E24,固定値!$DP$2:$DR$4,3,FALSE)</f>
        <v>0</v>
      </c>
      <c r="W24">
        <f>VLOOKUP(E24,固定値!$DP$2:$DS$4,4,FALSE)</f>
        <v>0</v>
      </c>
    </row>
    <row r="25" spans="2:23">
      <c r="B25" t="s">
        <v>1130</v>
      </c>
      <c r="C25" t="s">
        <v>628</v>
      </c>
      <c r="D25" t="s">
        <v>2048</v>
      </c>
      <c r="E25" t="s">
        <v>1751</v>
      </c>
      <c r="F25">
        <v>6</v>
      </c>
      <c r="G25">
        <v>0</v>
      </c>
      <c r="H25">
        <v>-4</v>
      </c>
      <c r="I25" t="s">
        <v>1750</v>
      </c>
      <c r="J25">
        <v>1600</v>
      </c>
      <c r="K25">
        <v>6</v>
      </c>
      <c r="L25">
        <v>10</v>
      </c>
      <c r="M25" t="s">
        <v>2054</v>
      </c>
      <c r="N25">
        <f>VLOOKUP(I25,固定値!$DN$2:$DO$4,2,FALSE)</f>
        <v>-4</v>
      </c>
      <c r="O25">
        <f>VLOOKUP(E25,固定値!$DP$2:$DQ$4,2,FALSE)</f>
        <v>-4</v>
      </c>
      <c r="P25">
        <v>-1</v>
      </c>
      <c r="Q25">
        <v>-1</v>
      </c>
      <c r="R25">
        <v>-1</v>
      </c>
      <c r="S25">
        <v>-1</v>
      </c>
      <c r="T25">
        <v>-1</v>
      </c>
      <c r="U25">
        <v>-1</v>
      </c>
      <c r="V25">
        <f>VLOOKUP(E25,固定値!$DP$2:$DR$4,3,FALSE)</f>
        <v>0</v>
      </c>
      <c r="W25">
        <f>VLOOKUP(E25,固定値!$DP$2:$DS$4,4,FALSE)</f>
        <v>0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2:L14"/>
  <sheetViews>
    <sheetView workbookViewId="0">
      <selection activeCell="I14" sqref="I14"/>
    </sheetView>
  </sheetViews>
  <sheetFormatPr defaultRowHeight="13"/>
  <cols>
    <col min="10" max="10" width="18.6328125" bestFit="1" customWidth="1"/>
  </cols>
  <sheetData>
    <row r="2" spans="2:12">
      <c r="B2" t="s">
        <v>2</v>
      </c>
      <c r="C2" t="s">
        <v>562</v>
      </c>
      <c r="D2" t="s">
        <v>2062</v>
      </c>
      <c r="E2" t="s">
        <v>382</v>
      </c>
      <c r="F2" t="s">
        <v>433</v>
      </c>
      <c r="G2" t="s">
        <v>432</v>
      </c>
      <c r="H2" t="s">
        <v>425</v>
      </c>
      <c r="I2" t="s">
        <v>389</v>
      </c>
      <c r="J2" t="s">
        <v>388</v>
      </c>
      <c r="K2" t="s">
        <v>390</v>
      </c>
      <c r="L2" t="s">
        <v>403</v>
      </c>
    </row>
    <row r="3" spans="2:12">
      <c r="B3" t="s">
        <v>20</v>
      </c>
      <c r="C3" t="s">
        <v>2063</v>
      </c>
      <c r="D3" t="s">
        <v>2063</v>
      </c>
      <c r="E3" t="s">
        <v>2063</v>
      </c>
      <c r="F3">
        <v>0</v>
      </c>
      <c r="G3">
        <v>0</v>
      </c>
      <c r="H3" t="s">
        <v>1739</v>
      </c>
      <c r="I3">
        <v>0</v>
      </c>
      <c r="J3" t="s">
        <v>2063</v>
      </c>
      <c r="K3">
        <v>-1</v>
      </c>
      <c r="L3">
        <f>VLOOKUP(H3,固定値!$DN$2:$DO$4,2,FALSE)</f>
        <v>0</v>
      </c>
    </row>
    <row r="4" spans="2:12">
      <c r="B4" t="s">
        <v>125</v>
      </c>
      <c r="C4" t="s">
        <v>784</v>
      </c>
      <c r="D4" t="s">
        <v>2051</v>
      </c>
      <c r="E4" t="s">
        <v>1751</v>
      </c>
      <c r="F4">
        <v>2</v>
      </c>
      <c r="G4">
        <v>1</v>
      </c>
      <c r="H4" t="s">
        <v>1739</v>
      </c>
      <c r="I4">
        <v>13</v>
      </c>
      <c r="J4" t="s">
        <v>1934</v>
      </c>
      <c r="K4">
        <v>-1</v>
      </c>
      <c r="L4">
        <f>VLOOKUP(H4,固定値!$DN$2:$DO$4,2,FALSE)</f>
        <v>0</v>
      </c>
    </row>
    <row r="5" spans="2:12">
      <c r="B5" t="s">
        <v>873</v>
      </c>
      <c r="C5" t="s">
        <v>784</v>
      </c>
      <c r="D5" t="s">
        <v>2064</v>
      </c>
      <c r="E5" t="s">
        <v>1751</v>
      </c>
      <c r="F5">
        <v>3</v>
      </c>
      <c r="G5">
        <v>2</v>
      </c>
      <c r="H5" t="s">
        <v>1739</v>
      </c>
      <c r="I5">
        <v>25</v>
      </c>
      <c r="J5" t="s">
        <v>2018</v>
      </c>
      <c r="K5">
        <v>1</v>
      </c>
      <c r="L5">
        <f>VLOOKUP(H5,固定値!$DN$2:$DO$4,2,FALSE)</f>
        <v>0</v>
      </c>
    </row>
    <row r="6" spans="2:12">
      <c r="B6" t="s">
        <v>915</v>
      </c>
      <c r="C6" t="s">
        <v>784</v>
      </c>
      <c r="D6" t="s">
        <v>2064</v>
      </c>
      <c r="E6" t="s">
        <v>1751</v>
      </c>
      <c r="F6">
        <v>4</v>
      </c>
      <c r="G6">
        <v>3</v>
      </c>
      <c r="H6" t="s">
        <v>1750</v>
      </c>
      <c r="I6">
        <v>35</v>
      </c>
      <c r="J6" t="s">
        <v>20</v>
      </c>
      <c r="K6">
        <v>-1</v>
      </c>
      <c r="L6">
        <f>VLOOKUP(H6,固定値!$DN$2:$DO$4,2,FALSE)</f>
        <v>-4</v>
      </c>
    </row>
    <row r="7" spans="2:12">
      <c r="B7" t="s">
        <v>957</v>
      </c>
      <c r="C7" t="s">
        <v>784</v>
      </c>
      <c r="D7" t="s">
        <v>2065</v>
      </c>
      <c r="E7" t="s">
        <v>1751</v>
      </c>
      <c r="F7">
        <v>5</v>
      </c>
      <c r="G7">
        <v>3</v>
      </c>
      <c r="H7" t="s">
        <v>1750</v>
      </c>
      <c r="I7">
        <v>40</v>
      </c>
      <c r="J7" t="s">
        <v>2018</v>
      </c>
      <c r="K7">
        <v>1</v>
      </c>
      <c r="L7">
        <f>VLOOKUP(H7,固定値!$DN$2:$DO$4,2,FALSE)</f>
        <v>-4</v>
      </c>
    </row>
    <row r="8" spans="2:12">
      <c r="B8" t="s">
        <v>999</v>
      </c>
      <c r="C8" t="s">
        <v>784</v>
      </c>
      <c r="D8" t="s">
        <v>2066</v>
      </c>
      <c r="E8" t="s">
        <v>1751</v>
      </c>
      <c r="F8">
        <v>3</v>
      </c>
      <c r="G8">
        <v>3</v>
      </c>
      <c r="H8" t="s">
        <v>1758</v>
      </c>
      <c r="I8">
        <v>85</v>
      </c>
      <c r="J8" t="s">
        <v>2018</v>
      </c>
      <c r="K8">
        <v>1</v>
      </c>
      <c r="L8">
        <f>VLOOKUP(H8,固定値!$DN$2:$DO$4,2,FALSE)</f>
        <v>-8</v>
      </c>
    </row>
    <row r="9" spans="2:12">
      <c r="B9" t="s">
        <v>829</v>
      </c>
      <c r="C9" t="s">
        <v>785</v>
      </c>
      <c r="D9" t="s">
        <v>2066</v>
      </c>
      <c r="E9" t="s">
        <v>1759</v>
      </c>
      <c r="F9">
        <v>4</v>
      </c>
      <c r="G9">
        <v>3</v>
      </c>
      <c r="H9" t="s">
        <v>1758</v>
      </c>
      <c r="I9">
        <v>45</v>
      </c>
      <c r="J9" t="s">
        <v>20</v>
      </c>
      <c r="K9">
        <v>-1</v>
      </c>
      <c r="L9">
        <f>VLOOKUP(H9,固定値!$DN$2:$DO$4,2,FALSE)</f>
        <v>-8</v>
      </c>
    </row>
    <row r="10" spans="2:12">
      <c r="B10" t="s">
        <v>874</v>
      </c>
      <c r="C10" t="s">
        <v>785</v>
      </c>
      <c r="D10" t="s">
        <v>2066</v>
      </c>
      <c r="E10" t="s">
        <v>1759</v>
      </c>
      <c r="F10">
        <v>4</v>
      </c>
      <c r="G10">
        <v>4</v>
      </c>
      <c r="H10" t="s">
        <v>1758</v>
      </c>
      <c r="I10">
        <v>50</v>
      </c>
      <c r="J10" t="s">
        <v>2067</v>
      </c>
      <c r="K10">
        <v>1</v>
      </c>
      <c r="L10">
        <f>VLOOKUP(H10,固定値!$DN$2:$DO$4,2,FALSE)</f>
        <v>-8</v>
      </c>
    </row>
    <row r="11" spans="2:12">
      <c r="B11" t="s">
        <v>916</v>
      </c>
      <c r="C11" t="s">
        <v>785</v>
      </c>
      <c r="D11" t="s">
        <v>2066</v>
      </c>
      <c r="E11" t="s">
        <v>1759</v>
      </c>
      <c r="F11">
        <v>5</v>
      </c>
      <c r="G11">
        <v>4</v>
      </c>
      <c r="H11" t="s">
        <v>1758</v>
      </c>
      <c r="I11">
        <v>70</v>
      </c>
      <c r="J11" t="s">
        <v>2068</v>
      </c>
      <c r="K11">
        <v>2</v>
      </c>
      <c r="L11">
        <f>VLOOKUP(H11,固定値!$DN$2:$DO$4,2,FALSE)</f>
        <v>-8</v>
      </c>
    </row>
    <row r="12" spans="2:12">
      <c r="B12" t="s">
        <v>958</v>
      </c>
      <c r="C12" t="s">
        <v>785</v>
      </c>
      <c r="D12" t="s">
        <v>2066</v>
      </c>
      <c r="E12" t="s">
        <v>1759</v>
      </c>
      <c r="F12">
        <v>5</v>
      </c>
      <c r="G12">
        <v>5</v>
      </c>
      <c r="H12" t="s">
        <v>1758</v>
      </c>
      <c r="I12">
        <v>80</v>
      </c>
      <c r="J12" t="s">
        <v>20</v>
      </c>
      <c r="K12">
        <v>-1</v>
      </c>
      <c r="L12">
        <f>VLOOKUP(H12,固定値!$DN$2:$DO$4,2,FALSE)</f>
        <v>-8</v>
      </c>
    </row>
    <row r="13" spans="2:12">
      <c r="B13" t="s">
        <v>1034</v>
      </c>
      <c r="C13" t="s">
        <v>784</v>
      </c>
      <c r="D13" t="s">
        <v>2064</v>
      </c>
      <c r="E13" t="s">
        <v>1751</v>
      </c>
      <c r="F13">
        <v>4</v>
      </c>
      <c r="G13">
        <v>3</v>
      </c>
      <c r="H13" t="s">
        <v>1739</v>
      </c>
      <c r="I13">
        <v>225</v>
      </c>
      <c r="J13" t="s">
        <v>2018</v>
      </c>
      <c r="K13">
        <v>1</v>
      </c>
      <c r="L13">
        <f>VLOOKUP(H13,固定値!$DN$2:$DO$4,2,FALSE)</f>
        <v>0</v>
      </c>
    </row>
    <row r="14" spans="2:12">
      <c r="B14" t="s">
        <v>1069</v>
      </c>
      <c r="C14" t="s">
        <v>784</v>
      </c>
      <c r="D14" t="s">
        <v>2069</v>
      </c>
      <c r="E14" t="s">
        <v>1751</v>
      </c>
      <c r="F14">
        <v>6</v>
      </c>
      <c r="G14">
        <v>4</v>
      </c>
      <c r="H14" t="s">
        <v>1750</v>
      </c>
      <c r="I14">
        <v>1400</v>
      </c>
      <c r="J14" t="s">
        <v>2070</v>
      </c>
      <c r="K14">
        <v>1</v>
      </c>
      <c r="L14">
        <f>VLOOKUP(H14,固定値!$DN$2:$DO$4,2,FALSE)</f>
        <v>-4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2:B44"/>
  <sheetViews>
    <sheetView workbookViewId="0">
      <selection activeCell="B2" sqref="B2:B44"/>
    </sheetView>
  </sheetViews>
  <sheetFormatPr defaultRowHeight="13"/>
  <cols>
    <col min="2" max="2" width="109.08984375" customWidth="1"/>
  </cols>
  <sheetData>
    <row r="2" spans="2:2" ht="12" customHeight="1">
      <c r="B2" s="108" t="str">
        <f>テキストシート!B1&amp;CHAR(10)&amp;テキストシート!B2&amp;CHAR(10)&amp;テキストシート!B3&amp;CHAR(10)&amp;テキストシート!B4&amp;CHAR(10)&amp;テキストシート!B5&amp;CHAR(10)&amp;テキストシート!B6&amp;CHAR(10)&amp;テキストシート!B7&amp;CHAR(10)&amp;テキストシート!B8&amp;CHAR(10)&amp;能力値!B16&amp;CHAR(10)&amp;能力値!B17&amp;CHAR(10)&amp;能力値!B18&amp;CHAR(10)&amp;能力値!B19&amp;CHAR(10)&amp;能力値!B20&amp;CHAR(10)&amp;能力値!B21&amp;CHAR(10)&amp;能力値!B22&amp;CHAR(10)&amp;能力値!B23&amp;CHAR(10)&amp;能力値!B24&amp;CHAR(10)&amp;能力値!B25&amp;CHAR(10)&amp;能力値!B26&amp;CHAR(10)&amp;能力値!B27&amp;CHAR(10)&amp;能力値!B28&amp;CHAR(10)&amp;テキストシート!B11&amp;CHAR(10)&amp;テキストシート!B12&amp;CHAR(10)&amp;テキストシート!B13&amp;CHAR(10)&amp;テキストシート!B14&amp;CHAR(10)&amp;テキストシート!B16&amp;CHAR(10)&amp;テキストシート!B17&amp;CHAR(10)&amp;テキストシート!B18&amp;CHAR(10)&amp;テキストシート!B19&amp;CHAR(10)&amp;テキストシート!B20&amp;CHAR(10)&amp;テキストシート!B21&amp;CHAR(10)&amp;テキストシート!B23&amp;CHAR(10)&amp;テキストシート!B24&amp;CHAR(10)&amp;テキストシート!B25&amp;CHAR(10)&amp;テキストシート!B26&amp;CHAR(10)&amp;テキストシート!B28&amp;CHAR(10)&amp;テキストシート!B29&amp;CHAR(10)&amp;テキストシート!B31&amp;CHAR(10)&amp;テキストシート!B33&amp;CHAR(10)&amp;テキストシート!B35&amp;CHAR(10)&amp;テキストシート!B36&amp;CHAR(10)&amp;テキストシート!B37&amp;CHAR(10)&amp;テキストシート!B38&amp;CHAR(10)&amp;テキストシート!B43&amp;CHAR(10)&amp;テキストシート!B45&amp;CHAR(10)&amp;テキストシート!B46&amp;CHAR(10)&amp;テキストシート!B47&amp;CHAR(10)&amp;テキストシート!B49&amp;CHAR(10)&amp;テキストシート!B50&amp;CHAR(10)&amp;テキストシート!B52&amp;CHAR(10)&amp;テキストシート!B53&amp;CHAR(10)&amp;テキストシート!B54&amp;CHAR(10)&amp;テキストシート!B55&amp;CHAR(10)&amp;テキストシート!B57&amp;CHAR(10)&amp;テキストシート!B58&amp;CHAR(10)&amp;テキストシート!B60</f>
        <v>────────────────ゴブリンスレイヤーTRPG冒険記録用紙──────────────────
名前：【】　　種族：【只人】　　性別：【】　　年齢：【】
経歴：【騎士／平穏／宿敵】　　等級：【白磁等級】
身体的特徴：【】
経験点：【500／3000】　　成長点【0／10】
───────────────────────　 設定 　───────────────────────
──────────────────────────────────────────────────
　　　　┌───┬───┬───┬───┐
　　　　│体力点│魂魄点│技量点│知力点│
　　　　│　３　│　２　│　３　│　３　│
┌───┼───┼───┼───┼───┤
│集中度│　　　│　　　│　　　│　　　│
│　２　│　５　│　４　│　５　│　５　│
├───┼───┼───┼───┼───┤
│持久度│　　　│　　　│　　　│　　　│
│　４　│　７　│　６　│　７　│　７　│
├───┼───┼───┼───┼───┤
│反射度│　　　│　　　│　　　│　　　│
│　２　│　５　│　４　│　５　│　５　│
└───┴───┴───┴───┴───┘
生命力：【23】　 　 生命力2倍：【46】　　　負傷点：【0】 
移動力：【21】　　呪文使用回数：【0】　 
呪文抵抗基準値（魂魄反射＋冒険者LV+呪文抵抗）：【5】 
因果点：【3】
◆消耗　
　 1　　□□□□□　　全判定－２ 
　 2　　□□□□　　　全判定－３　移動力半減 
　 3　　□□□　　　　全判定－４　移動力と生命力半減  
　 4　　□□　　　　　気絶　移動不可　生命力半減   
　 5　　□　　　　　　死亡   
◆継戦カウンター 
□□□□○　5　□□○□□10　○□□○□15　○□○□○20　
○○○○○25　○○○○○30　○○○○○35　○○○○○40　
※○１つにつき１点消耗 
◆冒険者レベル：【1】
 職業レベル：【戦士：3】
◆冒険者技能　　　　　　初歩　／　習熟　　／　熟達　　／　達人　　／　伝説　　／　効果 
【頑健】　　　　　　　　　●　　　　　○　　　　　○　　　　　○　　 　　○　 ／
【幸運】　　　　　　　　　●　　　　　○　　　　　○　　　　　○　　 　　○　 ／
【荷重行動】　　　　　　　●　　　　　○　　　　　○　　　　　○　　 　　○　 ／
【挑発】　　　　　　　　　●　　　　　○　　　　　○　　　　　○　　 　　○　 ／
【武器：投擲武器】　　　　●　　　　　○　　　　　○　　　　　○　　 　　○　 ／
◆一般技能　　　　　　　初歩　／　　習熟　／　　熟達　／　効果 
【騎乗】　　　　　　　　　●　　　　　○　　　　　○　 ／
【長距離移動】　　　　　　●　　　　　○　　　　　○　 ／
◆呪文 
 真言呪文：呪文行使基準値（知力集中）：【５】 
 奇跡／祖竜／精霊：呪文行使基準値（魂魄集中）：【４】 
呪文行使 真言：【0】　　奇跡：【0】　　祖竜：【0】　　精霊：【0】 
◎習得呪文
◆攻撃
命中基準値（技量集中）：【５】 
近接：【8】　　弩弓：【5】　　投擲：【5】 
◎武器：【小剣】
用途／属性：【武器：片手剣軽片手／斬刺殴 】　　命中値合計：【6】
ダメージ：1d6+3
クラス：戦士3
効果：投擲適用、受け流し(+0)、強打・斬(+0)、刺突(+1)
◎効力値
-１４：無し　１５－１９：＋１D６　２０－２４：＋２D６　２５－２９：＋３D６　３０－３９：＋４D６　４０：＋５D６
◆防御 
回避基準値（技量反射）：【５】 
【戦士：3】
◎鎧：【革鎧】
属性：【鎧：軽鎧(革)／軽 】　　回避値合計：【8】
移動力合計：【21】　　装甲値合計：【2】　隠密性：【普通(-4)】 
効果：なし
◎盾：【円盾】
属性：【小型盾(木)／軽 】
盾受け基準値合計：【12】　　盾受け値＋装甲合計：【3+2】　　隠密性：【普通(-4)】 
効果：なし
◆所持金 
銀貨：5
◆その他の所持品 
移動力修正【0】
冒険者ツール(鈎縄10m、楔10個、小槌、火口箱、背負い袋、携帯用食器、水袋、白墨、小刀、松明(6本))
携帯食：21
衣類
治癒の水薬</v>
      </c>
    </row>
    <row r="3" spans="2:2" ht="13" customHeight="1">
      <c r="B3" s="108"/>
    </row>
    <row r="4" spans="2:2" ht="13" customHeight="1">
      <c r="B4" s="108"/>
    </row>
    <row r="5" spans="2:2">
      <c r="B5" s="108"/>
    </row>
    <row r="6" spans="2:2">
      <c r="B6" s="108"/>
    </row>
    <row r="7" spans="2:2">
      <c r="B7" s="108"/>
    </row>
    <row r="8" spans="2:2">
      <c r="B8" s="108"/>
    </row>
    <row r="9" spans="2:2">
      <c r="B9" s="108"/>
    </row>
    <row r="10" spans="2:2">
      <c r="B10" s="108"/>
    </row>
    <row r="11" spans="2:2">
      <c r="B11" s="108"/>
    </row>
    <row r="12" spans="2:2">
      <c r="B12" s="108"/>
    </row>
    <row r="13" spans="2:2">
      <c r="B13" s="108"/>
    </row>
    <row r="14" spans="2:2">
      <c r="B14" s="108"/>
    </row>
    <row r="15" spans="2:2">
      <c r="B15" s="108"/>
    </row>
    <row r="16" spans="2:2">
      <c r="B16" s="108"/>
    </row>
    <row r="17" spans="2:2">
      <c r="B17" s="108"/>
    </row>
    <row r="18" spans="2:2">
      <c r="B18" s="108"/>
    </row>
    <row r="19" spans="2:2">
      <c r="B19" s="108"/>
    </row>
    <row r="20" spans="2:2">
      <c r="B20" s="108"/>
    </row>
    <row r="21" spans="2:2">
      <c r="B21" s="108"/>
    </row>
    <row r="22" spans="2:2">
      <c r="B22" s="108"/>
    </row>
    <row r="23" spans="2:2">
      <c r="B23" s="108"/>
    </row>
    <row r="24" spans="2:2">
      <c r="B24" s="108"/>
    </row>
    <row r="25" spans="2:2">
      <c r="B25" s="108"/>
    </row>
    <row r="26" spans="2:2">
      <c r="B26" s="108"/>
    </row>
    <row r="27" spans="2:2">
      <c r="B27" s="108"/>
    </row>
    <row r="28" spans="2:2">
      <c r="B28" s="108"/>
    </row>
    <row r="29" spans="2:2">
      <c r="B29" s="108"/>
    </row>
    <row r="30" spans="2:2">
      <c r="B30" s="108"/>
    </row>
    <row r="31" spans="2:2">
      <c r="B31" s="108"/>
    </row>
    <row r="32" spans="2:2">
      <c r="B32" s="108"/>
    </row>
    <row r="33" spans="2:2">
      <c r="B33" s="108"/>
    </row>
    <row r="34" spans="2:2">
      <c r="B34" s="108"/>
    </row>
    <row r="35" spans="2:2">
      <c r="B35" s="108"/>
    </row>
    <row r="36" spans="2:2">
      <c r="B36" s="108"/>
    </row>
    <row r="37" spans="2:2">
      <c r="B37" s="108"/>
    </row>
    <row r="38" spans="2:2">
      <c r="B38" s="108"/>
    </row>
    <row r="39" spans="2:2">
      <c r="B39" s="108"/>
    </row>
    <row r="40" spans="2:2">
      <c r="B40" s="108"/>
    </row>
    <row r="41" spans="2:2">
      <c r="B41" s="108"/>
    </row>
    <row r="42" spans="2:2">
      <c r="B42" s="108"/>
    </row>
    <row r="43" spans="2:2">
      <c r="B43" s="108"/>
    </row>
    <row r="44" spans="2:2">
      <c r="B44" s="108"/>
    </row>
  </sheetData>
  <sheetProtection sheet="1" objects="1" scenarios="1" selectLockedCells="1" selectUnlockedCells="1"/>
  <mergeCells count="1">
    <mergeCell ref="B2:B44"/>
  </mergeCells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55"/>
  <sheetViews>
    <sheetView topLeftCell="A13" zoomScaleNormal="100" workbookViewId="0">
      <selection activeCell="H25" sqref="H25"/>
    </sheetView>
  </sheetViews>
  <sheetFormatPr defaultRowHeight="13"/>
  <cols>
    <col min="1" max="1" width="4" customWidth="1"/>
    <col min="2" max="2" width="13" customWidth="1"/>
    <col min="3" max="3" width="5.7265625" customWidth="1"/>
    <col min="4" max="4" width="8" customWidth="1"/>
    <col min="5" max="5" width="11.90625" customWidth="1"/>
    <col min="6" max="6" width="9.26953125" customWidth="1"/>
    <col min="7" max="7" width="7.26953125" customWidth="1"/>
    <col min="8" max="8" width="15.453125" customWidth="1"/>
    <col min="9" max="10" width="5.08984375" customWidth="1"/>
    <col min="11" max="11" width="15.90625" bestFit="1" customWidth="1"/>
    <col min="12" max="12" width="8.26953125" bestFit="1" customWidth="1"/>
    <col min="13" max="13" width="5.08984375" customWidth="1"/>
    <col min="14" max="14" width="15.90625" bestFit="1" customWidth="1"/>
    <col min="15" max="16" width="5.08984375" customWidth="1"/>
    <col min="17" max="17" width="15.90625" bestFit="1" customWidth="1"/>
    <col min="18" max="19" width="5.08984375" customWidth="1"/>
    <col min="20" max="20" width="15.90625" bestFit="1" customWidth="1"/>
    <col min="21" max="22" width="5.08984375" customWidth="1"/>
    <col min="23" max="23" width="15.90625" bestFit="1" customWidth="1"/>
    <col min="24" max="25" width="5.08984375" customWidth="1"/>
    <col min="26" max="26" width="15.90625" bestFit="1" customWidth="1"/>
    <col min="27" max="28" width="5.08984375" customWidth="1"/>
    <col min="29" max="29" width="15.90625" bestFit="1" customWidth="1"/>
    <col min="30" max="31" width="5.08984375" customWidth="1"/>
    <col min="32" max="32" width="15.90625" bestFit="1" customWidth="1"/>
    <col min="33" max="34" width="5.08984375" customWidth="1"/>
    <col min="35" max="35" width="15.90625" bestFit="1" customWidth="1"/>
    <col min="36" max="37" width="5.08984375" customWidth="1"/>
  </cols>
  <sheetData>
    <row r="1" spans="1:37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</row>
    <row r="2" spans="1:37">
      <c r="A2" s="14"/>
      <c r="B2" s="89" t="str">
        <f>テキストシート!B35</f>
        <v>◆呪文 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</row>
    <row r="3" spans="1:37">
      <c r="A3" s="14"/>
      <c r="B3" s="90" t="str">
        <f>テキストシート!B36</f>
        <v xml:space="preserve"> 真言呪文：呪文行使基準値（知力集中）：【５】 </v>
      </c>
      <c r="C3" s="90"/>
      <c r="D3" s="90"/>
      <c r="E3" s="90"/>
      <c r="F3" s="90"/>
      <c r="G3" s="62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</row>
    <row r="4" spans="1:37">
      <c r="A4" s="14"/>
      <c r="B4" s="57" t="str">
        <f>テキストシート!B37</f>
        <v xml:space="preserve"> 奇跡／祖竜／精霊：呪文行使基準値（魂魄集中）：【４】 </v>
      </c>
      <c r="C4" s="57"/>
      <c r="D4" s="57"/>
      <c r="E4" s="57"/>
      <c r="F4" s="57"/>
      <c r="G4" s="62"/>
      <c r="H4" s="62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</row>
    <row r="5" spans="1:37">
      <c r="A5" s="14"/>
      <c r="B5" s="59" t="str">
        <f>テキストシート!B38</f>
        <v xml:space="preserve">呪文行使 真言：【0】　　奇跡：【0】　　祖竜：【0】　　精霊：【0】 </v>
      </c>
      <c r="C5" s="59"/>
      <c r="D5" s="59"/>
      <c r="E5" s="91"/>
      <c r="F5" s="91"/>
      <c r="G5" s="91"/>
      <c r="H5" s="91"/>
      <c r="I5" s="62"/>
      <c r="J5" s="62"/>
      <c r="K5" s="62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</row>
    <row r="6" spans="1:37">
      <c r="A6" s="14"/>
      <c r="B6" s="90" t="str">
        <f>テキストシート!B39</f>
        <v xml:space="preserve"> 真言呪文：呪文維持基準値（知力持久）：【７】 </v>
      </c>
      <c r="C6" s="90"/>
      <c r="D6" s="90"/>
      <c r="E6" s="90"/>
      <c r="F6" s="90"/>
      <c r="G6" s="62"/>
      <c r="H6" s="14"/>
      <c r="I6" s="14"/>
      <c r="J6" s="62"/>
      <c r="K6" s="62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</row>
    <row r="7" spans="1:37">
      <c r="A7" s="14"/>
      <c r="B7" s="57" t="str">
        <f>テキストシート!B40</f>
        <v xml:space="preserve"> 奇跡／祖竜／精霊：呪文行使基準値（魂魄持久）：【６】 </v>
      </c>
      <c r="C7" s="57"/>
      <c r="D7" s="57"/>
      <c r="E7" s="57"/>
      <c r="F7" s="57"/>
      <c r="G7" s="62"/>
      <c r="H7" s="62"/>
      <c r="I7" s="14"/>
      <c r="J7" s="62"/>
      <c r="K7" s="62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</row>
    <row r="8" spans="1:37">
      <c r="A8" s="14"/>
      <c r="B8" s="90" t="str">
        <f>テキストシート!B41</f>
        <v xml:space="preserve">呪文維持 真言：【0】　　奇跡：【0】　　祖竜：【0】　　精霊：【0】 </v>
      </c>
      <c r="C8" s="90"/>
      <c r="D8" s="90"/>
      <c r="E8" s="91"/>
      <c r="F8" s="91"/>
      <c r="G8" s="91"/>
      <c r="H8" s="91"/>
      <c r="I8" s="62"/>
      <c r="J8" s="62"/>
      <c r="K8" s="62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</row>
    <row r="9" spans="1:37">
      <c r="A9" s="14"/>
      <c r="B9" s="88" t="str">
        <f>テキストシート!B42</f>
        <v>呪文関連技能：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</row>
    <row r="10" spans="1:37" ht="114" customHeight="1">
      <c r="A10" s="14"/>
      <c r="B10" s="102" t="str">
        <f>テキストシート!B43</f>
        <v>◎習得呪文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</row>
    <row r="11" spans="1:37">
      <c r="A11" s="14"/>
      <c r="B11" s="90" t="str">
        <f>テキストシート!B45</f>
        <v>◆攻撃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</row>
    <row r="12" spans="1:37">
      <c r="A12" s="14"/>
      <c r="B12" s="59" t="str">
        <f>テキストシート!B46</f>
        <v xml:space="preserve">命中基準値（技量集中）：【５】 </v>
      </c>
      <c r="C12" s="59"/>
      <c r="D12" s="59"/>
      <c r="E12" s="59"/>
      <c r="F12" s="62"/>
      <c r="G12" s="62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</row>
    <row r="13" spans="1:37">
      <c r="A13" s="14"/>
      <c r="B13" s="59" t="str">
        <f>テキストシート!B47</f>
        <v xml:space="preserve">近接：【8】　　弩弓：【5】　　投擲：【5】 </v>
      </c>
      <c r="C13" s="59"/>
      <c r="D13" s="59"/>
      <c r="E13" s="59"/>
      <c r="F13" s="62"/>
      <c r="G13" s="62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</row>
    <row r="14" spans="1:37" ht="281" customHeight="1">
      <c r="A14" s="14"/>
      <c r="B14" s="103" t="str">
        <f>テキストシート!B49</f>
        <v xml:space="preserve">
◎武器：【小剣】
用途／属性：【武器：片手剣軽片手／斬刺殴 】　　命中値合計：【6】
ダメージ：1d6+3
クラス：戦士3
効果：投擲適用、受け流し(+0)、強打・斬(+0)、刺突(+1)</v>
      </c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</row>
    <row r="15" spans="1:37">
      <c r="A15" s="14"/>
      <c r="B15" s="58" t="str">
        <f>テキストシート!B50</f>
        <v>◎効力値
-１４：無し　１５－１９：＋１D６　２０－２４：＋２D６　２５－２９：＋３D６　３０－３９：＋４D６　４０：＋５D６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62"/>
      <c r="O15" s="62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</row>
    <row r="16" spans="1:37">
      <c r="A16" s="14"/>
      <c r="B16" s="90" t="str">
        <f>テキストシート!B52</f>
        <v xml:space="preserve">◆防御 </v>
      </c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</row>
    <row r="17" spans="1:37">
      <c r="A17" s="14"/>
      <c r="B17" s="59" t="str">
        <f>テキストシート!B53</f>
        <v xml:space="preserve">回避基準値（技量反射）：【５】 </v>
      </c>
      <c r="C17" s="59"/>
      <c r="D17" s="59"/>
      <c r="E17" s="62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</row>
    <row r="18" spans="1:37">
      <c r="A18" s="14"/>
      <c r="B18" s="59" t="str">
        <f>テキストシート!B54</f>
        <v>【戦士：3】</v>
      </c>
      <c r="C18" s="59"/>
      <c r="D18" s="59"/>
      <c r="E18" s="62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</row>
    <row r="19" spans="1:37" ht="135.75" customHeight="1">
      <c r="A19" s="14"/>
      <c r="B19" s="104" t="str">
        <f>テキストシート!B55</f>
        <v xml:space="preserve">
◎鎧：【革鎧】
属性：【鎧：軽鎧(革)／軽 】　　回避値合計：【8】
移動力合計：【21】　　装甲値合計：【2】　隠密性：【普通(-4)】 
効果：なし
◎盾：【円盾】
属性：【小型盾(木)／軽 】
盾受け基準値合計：【12】　　盾受け値＋装甲合計：【3+2】　　隠密性：【普通(-4)】 
効果：なし</v>
      </c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</row>
    <row r="20" spans="1:37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>
      <c r="A21" s="14"/>
      <c r="B21" s="57" t="str">
        <f>テキストシート!B16</f>
        <v>◆消耗　</v>
      </c>
      <c r="C21" s="14"/>
      <c r="D21" s="14"/>
      <c r="E21" s="14"/>
      <c r="F21" s="14"/>
      <c r="G21" s="14"/>
      <c r="H21" s="14"/>
      <c r="I21" s="14"/>
      <c r="J21" s="14"/>
      <c r="K21" s="58" t="s">
        <v>203</v>
      </c>
      <c r="L21" s="58">
        <f>冒険現在値!M23</f>
        <v>3</v>
      </c>
      <c r="M21" s="14"/>
      <c r="N21" s="79" t="s">
        <v>246</v>
      </c>
      <c r="O21" s="79">
        <f>COUNTIF(作成シート!$C$101:$C$118,固定値!CZ2&amp;"："&amp;固定値!DA2)*固定値!DA2+COUNTIF(作成シート!$C$101:$C$118,固定値!CZ2)-C49+F49-冒険現在値!C48+冒険現在値!F48</f>
        <v>0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1:37">
      <c r="A22" s="14"/>
      <c r="B22" s="57" t="str">
        <f>テキストシート!B17</f>
        <v xml:space="preserve">　 1　　□□□□□　　全判定－２ </v>
      </c>
      <c r="C22" s="57"/>
      <c r="D22" s="57"/>
      <c r="E22" s="57"/>
      <c r="F22" s="57"/>
      <c r="G22" s="57"/>
      <c r="H22" s="62"/>
      <c r="I22" s="14"/>
      <c r="J22" s="14"/>
      <c r="K22" s="63" t="s">
        <v>206</v>
      </c>
      <c r="L22" s="63">
        <f>I41</f>
        <v>0</v>
      </c>
      <c r="M22" s="14"/>
      <c r="N22" s="79" t="s">
        <v>247</v>
      </c>
      <c r="O22" s="79">
        <f>COUNTIF(作成シート!$C$101:$C$118,固定値!CZ3&amp;"："&amp;固定値!DA3)*固定値!DA3+COUNTIF(作成シート!$C$101:$C$118,固定値!CZ3)-C50+F50-冒険現在値!C49+冒険現在値!F49</f>
        <v>0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</row>
    <row r="23" spans="1:37">
      <c r="A23" s="14"/>
      <c r="B23" s="59" t="str">
        <f>テキストシート!B18</f>
        <v xml:space="preserve">　 2　　□□□□　　　全判定－３　移動力半減 </v>
      </c>
      <c r="C23" s="59"/>
      <c r="D23" s="59"/>
      <c r="E23" s="59"/>
      <c r="F23" s="59"/>
      <c r="G23" s="59"/>
      <c r="H23" s="62"/>
      <c r="I23" s="14"/>
      <c r="J23" s="14"/>
      <c r="K23" s="57" t="s">
        <v>209</v>
      </c>
      <c r="L23" s="57">
        <f>F38+冒険現在値!F37+L29-F41-冒険現在値!F40</f>
        <v>0</v>
      </c>
      <c r="M23" s="14"/>
      <c r="N23" s="79" t="s">
        <v>248</v>
      </c>
      <c r="O23" s="79">
        <f>COUNTIF(作成シート!$C$101:$C$118,固定値!CZ4&amp;"："&amp;固定値!DA4)*固定値!DA4+COUNTIF(作成シート!$C$101:$C$118,固定値!CZ4)-C51+F51-冒険現在値!C50+冒険現在値!F50</f>
        <v>0</v>
      </c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</row>
    <row r="24" spans="1:37">
      <c r="A24" s="14"/>
      <c r="B24" s="58" t="str">
        <f>テキストシート!B19</f>
        <v xml:space="preserve">　 3　　□□□　　　　全判定－４　移動力と生命力半減  </v>
      </c>
      <c r="C24" s="58"/>
      <c r="D24" s="58"/>
      <c r="E24" s="58"/>
      <c r="F24" s="58"/>
      <c r="G24" s="58"/>
      <c r="H24" s="62"/>
      <c r="I24" s="14"/>
      <c r="J24" s="14"/>
      <c r="K24" s="59" t="s">
        <v>212</v>
      </c>
      <c r="L24" s="59">
        <f>C38+I41+冒険現在値!C37-C41-冒険現在値!C40</f>
        <v>0</v>
      </c>
      <c r="M24" s="14"/>
      <c r="N24" s="79" t="s">
        <v>249</v>
      </c>
      <c r="O24" s="79">
        <f>COUNTIF(作成シート!$C$101:$C$118,固定値!CZ5&amp;"："&amp;固定値!DA5)*固定値!DA5+COUNTIF(作成シート!$C$101:$C$118,固定値!CZ5)-C52+F52-冒険現在値!C51+冒険現在値!F51</f>
        <v>0</v>
      </c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</row>
    <row r="25" spans="1:37">
      <c r="A25" s="14"/>
      <c r="B25" s="56" t="str">
        <f>テキストシート!B20</f>
        <v xml:space="preserve">　 4　　□□　　　　　気絶　移動不可　生命力半減   </v>
      </c>
      <c r="C25" s="56"/>
      <c r="D25" s="56"/>
      <c r="E25" s="56"/>
      <c r="F25" s="56"/>
      <c r="G25" s="56"/>
      <c r="H25" s="62"/>
      <c r="I25" s="14"/>
      <c r="J25" s="14"/>
      <c r="K25" s="56" t="s">
        <v>214</v>
      </c>
      <c r="L25" s="56">
        <f>IF(L23&gt;冒険者職業レベル!E24-1,ROUNDUP(状態!F11/2,0),状態!F11)-L38-冒険現在値!L37+L41+冒険現在値!L40</f>
        <v>23</v>
      </c>
      <c r="M25" s="14"/>
      <c r="N25" s="79" t="s">
        <v>250</v>
      </c>
      <c r="O25" s="79">
        <f>COUNTIF(作成シート!$C$101:$C$118,固定値!CZ6&amp;"："&amp;固定値!DA6)*固定値!DA6+COUNTIF(作成シート!$C$101:$C$118,固定値!CZ6)-C53+F53-冒険現在値!C52+冒険現在値!F52</f>
        <v>0</v>
      </c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1:37">
      <c r="A26" s="14"/>
      <c r="B26" s="73" t="str">
        <f>テキストシート!B21</f>
        <v xml:space="preserve">　 5　　□　　　　　　死亡   </v>
      </c>
      <c r="C26" s="73"/>
      <c r="D26" s="73"/>
      <c r="E26" s="73"/>
      <c r="F26" s="73"/>
      <c r="G26" s="73"/>
      <c r="H26" s="62"/>
      <c r="I26" s="14"/>
      <c r="J26" s="14"/>
      <c r="K26" s="60" t="s">
        <v>216</v>
      </c>
      <c r="L26" s="60">
        <f>L25*2</f>
        <v>46</v>
      </c>
      <c r="M26" s="14"/>
      <c r="N26" s="79" t="s">
        <v>251</v>
      </c>
      <c r="O26" s="79">
        <f>COUNTIF(作成シート!$C$101:$C$118,固定値!CZ7&amp;"："&amp;固定値!DA7)*固定値!DA7+COUNTIF(作成シート!$C$101:$C$118,固定値!CZ7)-C54+F54-冒険現在値!C53+冒険現在値!F53</f>
        <v>0</v>
      </c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</row>
    <row r="27" spans="1:37">
      <c r="A27" s="14"/>
      <c r="B27" s="14"/>
      <c r="C27" s="14"/>
      <c r="D27" s="14"/>
      <c r="E27" s="14"/>
      <c r="F27" s="14"/>
      <c r="G27" s="14"/>
      <c r="H27" s="62"/>
      <c r="I27" s="14"/>
      <c r="J27" s="14"/>
      <c r="K27" s="64" t="s">
        <v>217</v>
      </c>
      <c r="L27" s="64">
        <f>IF(L23&gt;冒険者職業レベル!E22-1,IF(L23&gt;冒険者職業レベル!E25-1,0,ROUNDUP(状態!F12/2,0)),状態!F12)+その他の所持品!C1+装備!S13+装備!AY1</f>
        <v>21</v>
      </c>
      <c r="M27" s="14"/>
      <c r="N27" s="79" t="s">
        <v>2117</v>
      </c>
      <c r="O27" s="79">
        <f>COUNTIF(作成シート!$C$101:$C$118,固定値!CZ8&amp;"："&amp;固定値!DA8)*固定値!DA8+COUNTIF(作成シート!$C$101:$C$118,固定値!CZ8)-C55+F55-冒険現在値!C54+冒険現在値!F54</f>
        <v>0</v>
      </c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</row>
    <row r="28" spans="1:37">
      <c r="A28" s="14"/>
      <c r="B28" s="59" t="str">
        <f>テキストシート!B23</f>
        <v xml:space="preserve">◆継戦カウンター </v>
      </c>
      <c r="C28" s="59"/>
      <c r="D28" s="59"/>
      <c r="E28" s="14"/>
      <c r="F28" s="14"/>
      <c r="G28" s="14"/>
      <c r="H28" s="62"/>
      <c r="I28" s="14"/>
      <c r="J28" s="14"/>
      <c r="K28" s="56" t="s">
        <v>218</v>
      </c>
      <c r="L28" s="56">
        <f>O38+冒険現在値!O37-O41-冒険現在値!O40</f>
        <v>0</v>
      </c>
      <c r="M28" s="14"/>
      <c r="N28" s="14" t="str">
        <f>IF(L25&gt;L28,"","マイラウンド追加消耗")</f>
        <v/>
      </c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</row>
    <row r="29" spans="1:37">
      <c r="A29" s="14"/>
      <c r="B29" s="59" t="str">
        <f>テキストシート!B24</f>
        <v>□□□□○　5　□□○□□10　○□□○□15　○□○□○20　</v>
      </c>
      <c r="C29" s="59"/>
      <c r="D29" s="59"/>
      <c r="E29" s="59"/>
      <c r="F29" s="59"/>
      <c r="G29" s="59"/>
      <c r="H29" s="62"/>
      <c r="I29" s="14"/>
      <c r="J29" s="14"/>
      <c r="K29" s="60" t="s">
        <v>252</v>
      </c>
      <c r="L29" s="60">
        <f>VLOOKUP(L24,固定値!$CR$2:$CS$42,2,FALSE)</f>
        <v>0</v>
      </c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</row>
    <row r="30" spans="1:37">
      <c r="A30" s="14"/>
      <c r="B30" s="59" t="str">
        <f>テキストシート!B25</f>
        <v>○○○○○25　○○○○○30　○○○○○35　○○○○○40　</v>
      </c>
      <c r="C30" s="59"/>
      <c r="D30" s="59"/>
      <c r="E30" s="59"/>
      <c r="F30" s="59"/>
      <c r="G30" s="59"/>
      <c r="H30" s="62"/>
      <c r="I30" s="14"/>
      <c r="J30" s="14"/>
      <c r="K30" s="58" t="s">
        <v>219</v>
      </c>
      <c r="L30" s="58">
        <f>状態!F13-R38-冒険現在値!R37+R41+冒険現在値!R40</f>
        <v>0</v>
      </c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</row>
    <row r="31" spans="1:37">
      <c r="A31" s="14"/>
      <c r="B31" s="100" t="s">
        <v>2180</v>
      </c>
      <c r="C31" s="101"/>
      <c r="D31" s="101"/>
      <c r="E31" s="101"/>
      <c r="F31" s="101"/>
      <c r="G31" s="101"/>
      <c r="H31" s="101"/>
      <c r="I31" s="101"/>
      <c r="J31" s="14"/>
      <c r="K31" s="63" t="s">
        <v>220</v>
      </c>
      <c r="L31" s="63">
        <f>所持金!B1</f>
        <v>5</v>
      </c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</row>
    <row r="32" spans="1:37">
      <c r="A32" s="14"/>
      <c r="B32" s="58" t="s">
        <v>253</v>
      </c>
      <c r="C32" s="58"/>
      <c r="D32" s="14"/>
      <c r="E32" s="56" t="s">
        <v>144</v>
      </c>
      <c r="F32" s="56">
        <f>VLOOKUP(E32,能力値!$C$32:$D$69,2,FALSE)</f>
        <v>6</v>
      </c>
      <c r="G32" s="14"/>
      <c r="H32" s="58" t="s">
        <v>254</v>
      </c>
      <c r="I32" s="58">
        <f>VLOOKUP(H32,能力値!$C$32:$D$74,2,FALSE)</f>
        <v>8</v>
      </c>
      <c r="J32" s="14"/>
      <c r="K32" s="57" t="s">
        <v>2178</v>
      </c>
      <c r="L32" s="57" t="str">
        <f>IF(L28&gt;=L25,IF(L28&gt;=L26,"死亡","毎ラウンド消耗"),"健康")</f>
        <v>健康</v>
      </c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</row>
    <row r="33" spans="1:40">
      <c r="A33" s="14"/>
      <c r="B33" s="58" t="str">
        <f>IF(状態!F13&gt;0,REPT("□",戦闘現在値!L30),"")&amp;IF(状態!F13&gt;0,REPT("■",状態!F13-戦闘現在値!L30),"")</f>
        <v/>
      </c>
      <c r="C33" s="58"/>
      <c r="D33" s="14"/>
      <c r="E33" s="57" t="s">
        <v>150</v>
      </c>
      <c r="F33" s="57">
        <f>VLOOKUP(E33,能力値!$C$32:$D$69,2,FALSE)</f>
        <v>5</v>
      </c>
      <c r="G33" s="14"/>
      <c r="H33" s="56" t="s">
        <v>255</v>
      </c>
      <c r="I33" s="56">
        <f>VLOOKUP(H33,能力値!$C$32:$D$74,2,FALSE)</f>
        <v>8</v>
      </c>
      <c r="J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</row>
    <row r="34" spans="1:40">
      <c r="A34" s="14"/>
      <c r="B34" s="58"/>
      <c r="C34" s="58"/>
      <c r="D34" s="14"/>
      <c r="E34" s="58" t="s">
        <v>155</v>
      </c>
      <c r="F34" s="58">
        <f>VLOOKUP(E34,能力値!$C$32:$D$69,2,FALSE)</f>
        <v>6</v>
      </c>
      <c r="G34" s="14"/>
      <c r="H34" s="56" t="s">
        <v>256</v>
      </c>
      <c r="I34" s="56">
        <f>VLOOKUP(H34,能力値!$C$32:$D$74,2,FALSE)</f>
        <v>8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</row>
    <row r="35" spans="1:40">
      <c r="A35" s="14"/>
      <c r="B35" s="58"/>
      <c r="C35" s="58"/>
      <c r="D35" s="14"/>
      <c r="E35" s="57" t="s">
        <v>160</v>
      </c>
      <c r="F35" s="57">
        <f>VLOOKUP(E35,能力値!$C$32:$D$69,2,FALSE)</f>
        <v>5</v>
      </c>
      <c r="G35" s="14"/>
      <c r="H35" s="64" t="s">
        <v>257</v>
      </c>
      <c r="I35" s="64">
        <f>VLOOKUP(H35,能力値!$C$32:$D$74,2,FALSE)</f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</row>
    <row r="36" spans="1:40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</row>
    <row r="37" spans="1:40">
      <c r="A37" s="14"/>
      <c r="B37" s="59" t="s">
        <v>221</v>
      </c>
      <c r="C37" s="59"/>
      <c r="D37" s="62"/>
      <c r="E37" s="57" t="s">
        <v>222</v>
      </c>
      <c r="F37" s="57"/>
      <c r="G37" s="14"/>
      <c r="H37" s="58" t="s">
        <v>223</v>
      </c>
      <c r="I37" s="58"/>
      <c r="J37" s="14"/>
      <c r="K37" s="56" t="s">
        <v>224</v>
      </c>
      <c r="L37" s="56"/>
      <c r="M37" s="14"/>
      <c r="N37" s="60" t="s">
        <v>218</v>
      </c>
      <c r="O37" s="60"/>
      <c r="Q37" s="70" t="s">
        <v>225</v>
      </c>
      <c r="R37" s="70"/>
      <c r="T37" s="14"/>
      <c r="U37" s="14"/>
      <c r="W37" s="14"/>
      <c r="X37" s="14"/>
      <c r="Z37" s="14"/>
      <c r="AA37" s="14"/>
      <c r="AC37" s="14"/>
      <c r="AD37" s="14"/>
      <c r="AF37" s="14"/>
      <c r="AG37" s="14"/>
      <c r="AI37" s="14"/>
      <c r="AJ37" s="14"/>
      <c r="AL37" s="14"/>
      <c r="AN37" s="14"/>
    </row>
    <row r="38" spans="1:40">
      <c r="A38" s="14"/>
      <c r="B38" s="61" t="s">
        <v>226</v>
      </c>
      <c r="C38" s="59">
        <v>0</v>
      </c>
      <c r="D38" s="62"/>
      <c r="E38" s="65" t="s">
        <v>226</v>
      </c>
      <c r="F38" s="57">
        <v>0</v>
      </c>
      <c r="G38" s="14"/>
      <c r="H38" s="66" t="s">
        <v>226</v>
      </c>
      <c r="I38" s="58">
        <v>0</v>
      </c>
      <c r="J38" s="14"/>
      <c r="K38" s="67" t="s">
        <v>226</v>
      </c>
      <c r="L38" s="56">
        <v>0</v>
      </c>
      <c r="M38" s="14"/>
      <c r="N38" s="68" t="s">
        <v>227</v>
      </c>
      <c r="O38" s="60">
        <v>0</v>
      </c>
      <c r="Q38" s="71" t="s">
        <v>227</v>
      </c>
      <c r="R38" s="70">
        <v>0</v>
      </c>
      <c r="S38" s="14"/>
      <c r="T38" s="23"/>
      <c r="U38" s="14"/>
      <c r="V38" s="14"/>
      <c r="W38" s="23"/>
      <c r="X38" s="14"/>
      <c r="Y38" s="14"/>
      <c r="Z38" s="23"/>
      <c r="AA38" s="14"/>
      <c r="AB38" s="14"/>
      <c r="AC38" s="23"/>
      <c r="AD38" s="14"/>
      <c r="AE38" s="14"/>
      <c r="AF38" s="23"/>
      <c r="AG38" s="14"/>
      <c r="AH38" s="14"/>
      <c r="AI38" s="23"/>
      <c r="AJ38" s="14"/>
      <c r="AK38" s="14"/>
    </row>
    <row r="39" spans="1:40">
      <c r="D39" s="72"/>
      <c r="S39" s="14"/>
      <c r="T39" s="24"/>
      <c r="U39" s="14"/>
      <c r="V39" s="14"/>
      <c r="W39" s="24"/>
      <c r="X39" s="14"/>
      <c r="Y39" s="14"/>
      <c r="Z39" s="24"/>
      <c r="AA39" s="14"/>
      <c r="AB39" s="14"/>
      <c r="AC39" s="24"/>
      <c r="AD39" s="14"/>
      <c r="AE39" s="14"/>
      <c r="AF39" s="24"/>
      <c r="AG39" s="14"/>
      <c r="AH39" s="14"/>
      <c r="AI39" s="24"/>
      <c r="AJ39" s="14"/>
      <c r="AK39" s="14"/>
    </row>
    <row r="40" spans="1:40">
      <c r="B40" s="59" t="s">
        <v>228</v>
      </c>
      <c r="C40" s="59"/>
      <c r="D40" s="62"/>
      <c r="E40" s="57" t="s">
        <v>229</v>
      </c>
      <c r="F40" s="57"/>
      <c r="H40" s="63" t="s">
        <v>258</v>
      </c>
      <c r="I40" s="63"/>
      <c r="J40" s="72"/>
      <c r="K40" s="56" t="s">
        <v>230</v>
      </c>
      <c r="L40" s="56"/>
      <c r="M40" s="14"/>
      <c r="N40" s="60" t="s">
        <v>231</v>
      </c>
      <c r="O40" s="60"/>
      <c r="Q40" s="70" t="s">
        <v>232</v>
      </c>
      <c r="R40" s="70"/>
    </row>
    <row r="41" spans="1:40">
      <c r="B41" s="61" t="s">
        <v>227</v>
      </c>
      <c r="C41" s="59">
        <v>0</v>
      </c>
      <c r="D41" s="62"/>
      <c r="E41" s="65" t="s">
        <v>227</v>
      </c>
      <c r="F41" s="57">
        <v>0</v>
      </c>
      <c r="H41" s="74" t="s">
        <v>227</v>
      </c>
      <c r="I41" s="63">
        <v>0</v>
      </c>
      <c r="J41" s="72"/>
      <c r="K41" s="67" t="s">
        <v>227</v>
      </c>
      <c r="L41" s="56">
        <v>0</v>
      </c>
      <c r="M41" s="14"/>
      <c r="N41" s="68" t="s">
        <v>227</v>
      </c>
      <c r="O41" s="60">
        <v>0</v>
      </c>
      <c r="Q41" s="71" t="s">
        <v>227</v>
      </c>
      <c r="R41" s="70">
        <v>0</v>
      </c>
    </row>
    <row r="43" spans="1:40">
      <c r="B43" s="56" t="s">
        <v>233</v>
      </c>
      <c r="C43" s="80"/>
      <c r="D43" s="72"/>
      <c r="E43" s="59" t="s">
        <v>234</v>
      </c>
      <c r="F43" s="81"/>
    </row>
    <row r="44" spans="1:40">
      <c r="B44" s="56" t="s">
        <v>235</v>
      </c>
      <c r="C44" s="56">
        <v>0</v>
      </c>
      <c r="D44" s="72"/>
      <c r="E44" s="59" t="s">
        <v>235</v>
      </c>
      <c r="F44" s="59">
        <v>0</v>
      </c>
    </row>
    <row r="45" spans="1:40">
      <c r="B45" s="56" t="s">
        <v>236</v>
      </c>
      <c r="C45" s="56">
        <v>0</v>
      </c>
      <c r="D45" s="72"/>
      <c r="E45" s="59" t="s">
        <v>236</v>
      </c>
      <c r="F45" s="59">
        <v>0</v>
      </c>
    </row>
    <row r="46" spans="1:40">
      <c r="B46" s="56" t="s">
        <v>237</v>
      </c>
      <c r="C46" s="56">
        <v>0</v>
      </c>
      <c r="D46" s="72"/>
      <c r="E46" s="59" t="s">
        <v>237</v>
      </c>
      <c r="F46" s="59">
        <v>0</v>
      </c>
    </row>
    <row r="47" spans="1:40">
      <c r="B47" s="56" t="s">
        <v>238</v>
      </c>
      <c r="C47" s="56">
        <v>0</v>
      </c>
      <c r="D47" s="72"/>
      <c r="E47" s="59" t="s">
        <v>238</v>
      </c>
      <c r="F47" s="59">
        <v>0</v>
      </c>
    </row>
    <row r="48" spans="1:40">
      <c r="B48" s="56" t="s">
        <v>239</v>
      </c>
      <c r="C48" s="56">
        <v>0</v>
      </c>
      <c r="D48" s="72"/>
      <c r="E48" s="59" t="s">
        <v>239</v>
      </c>
      <c r="F48" s="59">
        <v>0</v>
      </c>
    </row>
    <row r="49" spans="2:6">
      <c r="B49" s="56" t="s">
        <v>240</v>
      </c>
      <c r="C49" s="56">
        <v>0</v>
      </c>
      <c r="D49" s="72"/>
      <c r="E49" s="59" t="s">
        <v>240</v>
      </c>
      <c r="F49" s="59">
        <v>0</v>
      </c>
    </row>
    <row r="50" spans="2:6">
      <c r="B50" s="56" t="s">
        <v>241</v>
      </c>
      <c r="C50" s="56">
        <v>0</v>
      </c>
      <c r="D50" s="72"/>
      <c r="E50" s="59" t="s">
        <v>241</v>
      </c>
      <c r="F50" s="59">
        <v>0</v>
      </c>
    </row>
    <row r="51" spans="2:6">
      <c r="B51" s="56" t="s">
        <v>242</v>
      </c>
      <c r="C51" s="56">
        <v>0</v>
      </c>
      <c r="D51" s="72"/>
      <c r="E51" s="59" t="s">
        <v>242</v>
      </c>
      <c r="F51" s="59">
        <v>0</v>
      </c>
    </row>
    <row r="52" spans="2:6">
      <c r="B52" s="56" t="s">
        <v>243</v>
      </c>
      <c r="C52" s="56">
        <v>0</v>
      </c>
      <c r="D52" s="72"/>
      <c r="E52" s="59" t="s">
        <v>243</v>
      </c>
      <c r="F52" s="59">
        <v>0</v>
      </c>
    </row>
    <row r="53" spans="2:6">
      <c r="B53" s="56" t="s">
        <v>244</v>
      </c>
      <c r="C53" s="56">
        <v>0</v>
      </c>
      <c r="D53" s="72"/>
      <c r="E53" s="59" t="s">
        <v>244</v>
      </c>
      <c r="F53" s="59">
        <v>0</v>
      </c>
    </row>
    <row r="54" spans="2:6">
      <c r="B54" s="56" t="s">
        <v>245</v>
      </c>
      <c r="C54" s="56">
        <v>0</v>
      </c>
      <c r="D54" s="72"/>
      <c r="E54" s="59" t="s">
        <v>245</v>
      </c>
      <c r="F54" s="59">
        <v>0</v>
      </c>
    </row>
    <row r="55" spans="2:6">
      <c r="B55" s="56" t="s">
        <v>2120</v>
      </c>
      <c r="C55" s="56">
        <v>0</v>
      </c>
      <c r="E55" s="59" t="s">
        <v>2120</v>
      </c>
      <c r="F55" s="59">
        <v>0</v>
      </c>
    </row>
  </sheetData>
  <mergeCells count="3">
    <mergeCell ref="B10:M10"/>
    <mergeCell ref="B14:M14"/>
    <mergeCell ref="B19:M19"/>
  </mergeCells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29A2B4C-4B95-48AA-BB89-815A921BF1F7}">
            <xm:f>$L$23&gt;冒険者職業レベル!$E$23-1</xm:f>
            <x14:dxf>
              <font>
                <color theme="1"/>
              </font>
            </x14:dxf>
          </x14:cfRule>
          <x14:cfRule type="expression" priority="9" id="{73DB54D3-48AB-4304-A0B7-07E661423479}">
            <xm:f>$L$23&gt;冒険者職業レベル!$E$22-1</xm:f>
            <x14:dxf>
              <font>
                <b val="0"/>
                <i val="0"/>
                <color rgb="FFFF0000"/>
              </font>
            </x14:dxf>
          </x14:cfRule>
          <xm:sqref>B22</xm:sqref>
        </x14:conditionalFormatting>
        <x14:conditionalFormatting xmlns:xm="http://schemas.microsoft.com/office/excel/2006/main">
          <x14:cfRule type="expression" priority="6" id="{73728CC3-DFA3-428C-87ED-BE5E59A42255}">
            <xm:f>$L$23&gt;冒険者職業レベル!$E$24-1</xm:f>
            <x14:dxf>
              <font>
                <color theme="1"/>
              </font>
            </x14:dxf>
          </x14:cfRule>
          <x14:cfRule type="expression" priority="8" id="{D6A5CA38-E41F-4597-B6AF-4536645AF601}">
            <xm:f>$L$23&gt;冒険者職業レベル!$E$23-1</xm:f>
            <x14:dxf>
              <font>
                <color rgb="FFFF0000"/>
              </font>
            </x14:dxf>
          </x14:cfRule>
          <xm:sqref>B23</xm:sqref>
        </x14:conditionalFormatting>
        <x14:conditionalFormatting xmlns:xm="http://schemas.microsoft.com/office/excel/2006/main">
          <x14:cfRule type="expression" priority="4" id="{DCD1E36A-D392-4EC0-BF25-34BCF087D3BE}">
            <xm:f>$L$23&gt;冒険者職業レベル!$E$25-1</xm:f>
            <x14:dxf>
              <font>
                <color theme="1"/>
              </font>
            </x14:dxf>
          </x14:cfRule>
          <x14:cfRule type="expression" priority="5" id="{ABC3DC53-043F-40CA-A2ED-6E96363FE9DC}">
            <xm:f>$L$23&gt;冒険者職業レベル!$E$24-1</xm:f>
            <x14:dxf>
              <font>
                <color rgb="FFFF0000"/>
              </font>
            </x14:dxf>
          </x14:cfRule>
          <xm:sqref>B24</xm:sqref>
        </x14:conditionalFormatting>
        <x14:conditionalFormatting xmlns:xm="http://schemas.microsoft.com/office/excel/2006/main">
          <x14:cfRule type="expression" priority="2" id="{1D82CFA4-E072-4118-A4F1-69AB36DD0C35}">
            <xm:f>$L$23&gt;冒険者職業レベル!$E$26-1</xm:f>
            <x14:dxf>
              <font>
                <color theme="1"/>
              </font>
            </x14:dxf>
          </x14:cfRule>
          <x14:cfRule type="expression" priority="3" id="{075AFBC6-73D8-416C-A919-6E74EFE553FB}">
            <xm:f>$L$23&gt;冒険者職業レベル!$E$25-1</xm:f>
            <x14:dxf>
              <font>
                <color rgb="FFFF0000"/>
              </font>
            </x14:dxf>
          </x14:cfRule>
          <xm:sqref>B25</xm:sqref>
        </x14:conditionalFormatting>
        <x14:conditionalFormatting xmlns:xm="http://schemas.microsoft.com/office/excel/2006/main">
          <x14:cfRule type="expression" priority="1" id="{94FA747F-160C-4D21-B45F-BE5C2F58A60B}">
            <xm:f>$L$23&gt;冒険者職業レベル!$E$26-1</xm:f>
            <x14:dxf>
              <font>
                <color rgb="FFFF0000"/>
              </font>
            </x14:dxf>
          </x14:cfRule>
          <xm:sqref>B26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ラベル!$Q$2:$Q$101</xm:f>
          </x14:formula1>
          <xm:sqref>L41 B298:D420 R38 AI39:AI136 T39:T136 W39:W136 Z39:Z136 AC39:AC136 AF39:AF136 O41 O38 I41 C41 C38 C44:C55 F44:F55 L38 I38 R41 F38 F41</xm:sqref>
        </x14:dataValidation>
        <x14:dataValidation type="list" showInputMessage="1" showErrorMessage="1">
          <x14:formula1>
            <xm:f>ラベル!$AG$2:$AG$13</xm:f>
          </x14:formula1>
          <xm:sqref>AL38:AL481 AN38:AN118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2"/>
  <sheetViews>
    <sheetView workbookViewId="0">
      <selection activeCell="B2" sqref="B2"/>
    </sheetView>
  </sheetViews>
  <sheetFormatPr defaultRowHeight="13"/>
  <cols>
    <col min="1" max="1" width="11.36328125" bestFit="1" customWidth="1"/>
    <col min="3" max="3" width="8.7265625" style="39"/>
    <col min="4" max="4" width="8.7265625" style="36"/>
  </cols>
  <sheetData>
    <row r="1" spans="1:4">
      <c r="A1" s="14" t="s">
        <v>220</v>
      </c>
      <c r="B1" s="75">
        <f>SUM(所持金!C2:C256)-SUM(所持金!D2:D256)-SUM(装備!P3:P8)-装備!P13-装備!P17-その他の所持品!J1</f>
        <v>5</v>
      </c>
      <c r="C1" s="76" t="s">
        <v>259</v>
      </c>
      <c r="D1" s="77" t="s">
        <v>260</v>
      </c>
    </row>
    <row r="2" spans="1:4">
      <c r="B2" s="14" t="s">
        <v>261</v>
      </c>
      <c r="C2" s="39">
        <v>100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E110"/>
  <sheetViews>
    <sheetView workbookViewId="0">
      <selection activeCell="S28" sqref="S28"/>
    </sheetView>
  </sheetViews>
  <sheetFormatPr defaultRowHeight="13"/>
  <cols>
    <col min="2" max="2" width="14.6328125" bestFit="1" customWidth="1"/>
    <col min="3" max="3" width="8.7265625" style="39"/>
    <col min="4" max="4" width="8.7265625" style="33"/>
    <col min="5" max="5" width="8.7265625" style="42"/>
  </cols>
  <sheetData>
    <row r="1" spans="2:5">
      <c r="C1" s="39" t="s">
        <v>262</v>
      </c>
      <c r="D1" s="33" t="s">
        <v>263</v>
      </c>
    </row>
    <row r="2" spans="2:5">
      <c r="B2" t="s">
        <v>261</v>
      </c>
      <c r="C2" s="39">
        <v>3000</v>
      </c>
      <c r="E2" s="42" t="s">
        <v>264</v>
      </c>
    </row>
    <row r="3" spans="2:5">
      <c r="B3" t="s">
        <v>265</v>
      </c>
    </row>
    <row r="4" spans="2:5">
      <c r="B4" t="s">
        <v>267</v>
      </c>
    </row>
    <row r="5" spans="2:5">
      <c r="B5" t="s">
        <v>268</v>
      </c>
    </row>
    <row r="6" spans="2:5">
      <c r="B6" t="s">
        <v>269</v>
      </c>
    </row>
    <row r="7" spans="2:5">
      <c r="B7" t="s">
        <v>270</v>
      </c>
    </row>
    <row r="8" spans="2:5">
      <c r="B8" t="s">
        <v>271</v>
      </c>
    </row>
    <row r="9" spans="2:5">
      <c r="B9" t="s">
        <v>272</v>
      </c>
    </row>
    <row r="10" spans="2:5">
      <c r="B10" t="s">
        <v>273</v>
      </c>
    </row>
    <row r="11" spans="2:5">
      <c r="B11" t="s">
        <v>274</v>
      </c>
    </row>
    <row r="12" spans="2:5">
      <c r="B12" t="s">
        <v>275</v>
      </c>
    </row>
    <row r="13" spans="2:5">
      <c r="B13" t="s">
        <v>276</v>
      </c>
    </row>
    <row r="14" spans="2:5">
      <c r="B14" t="s">
        <v>277</v>
      </c>
    </row>
    <row r="15" spans="2:5">
      <c r="B15" t="s">
        <v>278</v>
      </c>
    </row>
    <row r="16" spans="2:5">
      <c r="B16" t="s">
        <v>279</v>
      </c>
    </row>
    <row r="17" spans="2:2">
      <c r="B17" t="s">
        <v>280</v>
      </c>
    </row>
    <row r="18" spans="2:2">
      <c r="B18" t="s">
        <v>281</v>
      </c>
    </row>
    <row r="19" spans="2:2">
      <c r="B19" t="s">
        <v>282</v>
      </c>
    </row>
    <row r="20" spans="2:2">
      <c r="B20" t="s">
        <v>283</v>
      </c>
    </row>
    <row r="21" spans="2:2">
      <c r="B21" t="s">
        <v>284</v>
      </c>
    </row>
    <row r="22" spans="2:2">
      <c r="B22" t="s">
        <v>285</v>
      </c>
    </row>
    <row r="23" spans="2:2">
      <c r="B23" t="s">
        <v>286</v>
      </c>
    </row>
    <row r="24" spans="2:2">
      <c r="B24" t="s">
        <v>287</v>
      </c>
    </row>
    <row r="25" spans="2:2">
      <c r="B25" t="s">
        <v>288</v>
      </c>
    </row>
    <row r="26" spans="2:2">
      <c r="B26" t="s">
        <v>289</v>
      </c>
    </row>
    <row r="27" spans="2:2">
      <c r="B27" t="s">
        <v>290</v>
      </c>
    </row>
    <row r="28" spans="2:2">
      <c r="B28" t="s">
        <v>291</v>
      </c>
    </row>
    <row r="29" spans="2:2">
      <c r="B29" t="s">
        <v>292</v>
      </c>
    </row>
    <row r="30" spans="2:2">
      <c r="B30" t="s">
        <v>293</v>
      </c>
    </row>
    <row r="31" spans="2:2">
      <c r="B31" t="s">
        <v>294</v>
      </c>
    </row>
    <row r="32" spans="2:2">
      <c r="B32" t="s">
        <v>295</v>
      </c>
    </row>
    <row r="33" spans="2:2">
      <c r="B33" t="s">
        <v>296</v>
      </c>
    </row>
    <row r="34" spans="2:2">
      <c r="B34" t="s">
        <v>297</v>
      </c>
    </row>
    <row r="35" spans="2:2">
      <c r="B35" t="s">
        <v>298</v>
      </c>
    </row>
    <row r="36" spans="2:2">
      <c r="B36" t="s">
        <v>299</v>
      </c>
    </row>
    <row r="37" spans="2:2">
      <c r="B37" t="s">
        <v>300</v>
      </c>
    </row>
    <row r="38" spans="2:2">
      <c r="B38" t="s">
        <v>301</v>
      </c>
    </row>
    <row r="39" spans="2:2">
      <c r="B39" t="s">
        <v>302</v>
      </c>
    </row>
    <row r="40" spans="2:2">
      <c r="B40" t="s">
        <v>303</v>
      </c>
    </row>
    <row r="41" spans="2:2">
      <c r="B41" t="s">
        <v>304</v>
      </c>
    </row>
    <row r="42" spans="2:2">
      <c r="B42" t="s">
        <v>305</v>
      </c>
    </row>
    <row r="43" spans="2:2">
      <c r="B43" t="s">
        <v>306</v>
      </c>
    </row>
    <row r="44" spans="2:2">
      <c r="B44" t="s">
        <v>307</v>
      </c>
    </row>
    <row r="45" spans="2:2">
      <c r="B45" t="s">
        <v>308</v>
      </c>
    </row>
    <row r="46" spans="2:2">
      <c r="B46" t="s">
        <v>309</v>
      </c>
    </row>
    <row r="47" spans="2:2">
      <c r="B47" t="s">
        <v>310</v>
      </c>
    </row>
    <row r="48" spans="2:2">
      <c r="B48" t="s">
        <v>311</v>
      </c>
    </row>
    <row r="49" spans="2:2">
      <c r="B49" t="s">
        <v>312</v>
      </c>
    </row>
    <row r="50" spans="2:2">
      <c r="B50" t="s">
        <v>313</v>
      </c>
    </row>
    <row r="51" spans="2:2">
      <c r="B51" t="s">
        <v>314</v>
      </c>
    </row>
    <row r="52" spans="2:2">
      <c r="B52" t="s">
        <v>315</v>
      </c>
    </row>
    <row r="53" spans="2:2">
      <c r="B53" t="s">
        <v>316</v>
      </c>
    </row>
    <row r="54" spans="2:2">
      <c r="B54" t="s">
        <v>317</v>
      </c>
    </row>
    <row r="55" spans="2:2">
      <c r="B55" t="s">
        <v>318</v>
      </c>
    </row>
    <row r="56" spans="2:2">
      <c r="B56" t="s">
        <v>319</v>
      </c>
    </row>
    <row r="57" spans="2:2">
      <c r="B57" t="s">
        <v>320</v>
      </c>
    </row>
    <row r="58" spans="2:2">
      <c r="B58" t="s">
        <v>321</v>
      </c>
    </row>
    <row r="59" spans="2:2">
      <c r="B59" t="s">
        <v>322</v>
      </c>
    </row>
    <row r="60" spans="2:2">
      <c r="B60" t="s">
        <v>323</v>
      </c>
    </row>
    <row r="61" spans="2:2">
      <c r="B61" t="s">
        <v>324</v>
      </c>
    </row>
    <row r="62" spans="2:2">
      <c r="B62" t="s">
        <v>325</v>
      </c>
    </row>
    <row r="63" spans="2:2">
      <c r="B63" t="s">
        <v>326</v>
      </c>
    </row>
    <row r="64" spans="2:2">
      <c r="B64" t="s">
        <v>327</v>
      </c>
    </row>
    <row r="65" spans="2:2">
      <c r="B65" t="s">
        <v>328</v>
      </c>
    </row>
    <row r="66" spans="2:2">
      <c r="B66" t="s">
        <v>329</v>
      </c>
    </row>
    <row r="67" spans="2:2">
      <c r="B67" t="s">
        <v>330</v>
      </c>
    </row>
    <row r="68" spans="2:2">
      <c r="B68" t="s">
        <v>331</v>
      </c>
    </row>
    <row r="69" spans="2:2">
      <c r="B69" t="s">
        <v>332</v>
      </c>
    </row>
    <row r="70" spans="2:2">
      <c r="B70" t="s">
        <v>333</v>
      </c>
    </row>
    <row r="71" spans="2:2">
      <c r="B71" t="s">
        <v>334</v>
      </c>
    </row>
    <row r="72" spans="2:2">
      <c r="B72" t="s">
        <v>335</v>
      </c>
    </row>
    <row r="73" spans="2:2">
      <c r="B73" t="s">
        <v>336</v>
      </c>
    </row>
    <row r="74" spans="2:2">
      <c r="B74" t="s">
        <v>337</v>
      </c>
    </row>
    <row r="75" spans="2:2">
      <c r="B75" t="s">
        <v>338</v>
      </c>
    </row>
    <row r="76" spans="2:2">
      <c r="B76" t="s">
        <v>339</v>
      </c>
    </row>
    <row r="77" spans="2:2">
      <c r="B77" t="s">
        <v>340</v>
      </c>
    </row>
    <row r="78" spans="2:2">
      <c r="B78" t="s">
        <v>341</v>
      </c>
    </row>
    <row r="79" spans="2:2">
      <c r="B79" t="s">
        <v>342</v>
      </c>
    </row>
    <row r="80" spans="2:2">
      <c r="B80" t="s">
        <v>343</v>
      </c>
    </row>
    <row r="81" spans="2:2">
      <c r="B81" t="s">
        <v>344</v>
      </c>
    </row>
    <row r="82" spans="2:2">
      <c r="B82" t="s">
        <v>345</v>
      </c>
    </row>
    <row r="83" spans="2:2">
      <c r="B83" t="s">
        <v>346</v>
      </c>
    </row>
    <row r="84" spans="2:2">
      <c r="B84" t="s">
        <v>347</v>
      </c>
    </row>
    <row r="85" spans="2:2">
      <c r="B85" t="s">
        <v>348</v>
      </c>
    </row>
    <row r="86" spans="2:2">
      <c r="B86" t="s">
        <v>349</v>
      </c>
    </row>
    <row r="87" spans="2:2">
      <c r="B87" t="s">
        <v>350</v>
      </c>
    </row>
    <row r="88" spans="2:2">
      <c r="B88" t="s">
        <v>351</v>
      </c>
    </row>
    <row r="89" spans="2:2">
      <c r="B89" t="s">
        <v>352</v>
      </c>
    </row>
    <row r="90" spans="2:2">
      <c r="B90" t="s">
        <v>353</v>
      </c>
    </row>
    <row r="91" spans="2:2">
      <c r="B91" t="s">
        <v>354</v>
      </c>
    </row>
    <row r="92" spans="2:2">
      <c r="B92" t="s">
        <v>355</v>
      </c>
    </row>
    <row r="93" spans="2:2">
      <c r="B93" t="s">
        <v>356</v>
      </c>
    </row>
    <row r="94" spans="2:2">
      <c r="B94" t="s">
        <v>357</v>
      </c>
    </row>
    <row r="95" spans="2:2">
      <c r="B95" t="s">
        <v>358</v>
      </c>
    </row>
    <row r="96" spans="2:2">
      <c r="B96" t="s">
        <v>359</v>
      </c>
    </row>
    <row r="97" spans="2:2">
      <c r="B97" t="s">
        <v>360</v>
      </c>
    </row>
    <row r="98" spans="2:2">
      <c r="B98" t="s">
        <v>361</v>
      </c>
    </row>
    <row r="99" spans="2:2">
      <c r="B99" t="s">
        <v>362</v>
      </c>
    </row>
    <row r="100" spans="2:2">
      <c r="B100" t="s">
        <v>363</v>
      </c>
    </row>
    <row r="101" spans="2:2">
      <c r="B101" t="s">
        <v>364</v>
      </c>
    </row>
    <row r="102" spans="2:2">
      <c r="B102" t="s">
        <v>365</v>
      </c>
    </row>
    <row r="103" spans="2:2">
      <c r="B103" t="s">
        <v>366</v>
      </c>
    </row>
    <row r="104" spans="2:2">
      <c r="B104" t="s">
        <v>367</v>
      </c>
    </row>
    <row r="105" spans="2:2">
      <c r="B105" t="s">
        <v>368</v>
      </c>
    </row>
    <row r="106" spans="2:2">
      <c r="B106" t="s">
        <v>369</v>
      </c>
    </row>
    <row r="107" spans="2:2">
      <c r="B107" t="s">
        <v>370</v>
      </c>
    </row>
    <row r="108" spans="2:2">
      <c r="B108" t="s">
        <v>371</v>
      </c>
    </row>
    <row r="109" spans="2:2">
      <c r="B109" t="s">
        <v>372</v>
      </c>
    </row>
    <row r="110" spans="2:2">
      <c r="B110" t="s">
        <v>373</v>
      </c>
    </row>
  </sheetData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ラベル!$P$2:$P$4</xm:f>
          </x14:formula1>
          <xm:sqref>E3:E110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X22" sqref="X22"/>
    </sheetView>
  </sheetViews>
  <sheetFormatPr defaultRowHeight="13"/>
  <cols>
    <col min="12" max="12" width="5.90625" customWidth="1"/>
    <col min="21" max="21" width="4.7265625" customWidth="1"/>
  </cols>
  <sheetData/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97"/>
  <sheetViews>
    <sheetView topLeftCell="A40" zoomScale="130" zoomScaleNormal="130" workbookViewId="0">
      <selection activeCell="B19" sqref="B19"/>
    </sheetView>
  </sheetViews>
  <sheetFormatPr defaultRowHeight="13"/>
  <cols>
    <col min="1" max="1" width="1.08984375" style="14" customWidth="1"/>
    <col min="2" max="2" width="9.453125" style="14" bestFit="1" customWidth="1"/>
    <col min="3" max="3" width="12.36328125" style="14" customWidth="1"/>
    <col min="4" max="4" width="9.26953125" style="14" customWidth="1"/>
    <col min="5" max="7" width="11.453125" style="14" customWidth="1"/>
    <col min="8" max="8" width="11.7265625" style="14" bestFit="1" customWidth="1"/>
    <col min="9" max="9" width="8.7265625" style="14"/>
    <col min="10" max="10" width="1.08984375" customWidth="1"/>
    <col min="18" max="18" width="2.08984375" customWidth="1"/>
    <col min="20" max="20" width="2.08984375" customWidth="1"/>
  </cols>
  <sheetData>
    <row r="1" spans="1:21">
      <c r="A1" s="7"/>
      <c r="B1" s="7" t="str">
        <f>"────────────────ゴブリンスレイヤーTRPG冒険記録用紙──────────────────"</f>
        <v>────────────────ゴブリンスレイヤーTRPG冒険記録用紙──────────────────</v>
      </c>
      <c r="C1" s="7"/>
      <c r="D1" s="7"/>
      <c r="E1" s="7"/>
      <c r="F1" s="7"/>
      <c r="G1" s="7"/>
      <c r="H1" s="7"/>
      <c r="I1" s="7"/>
      <c r="J1" s="2"/>
    </row>
    <row r="2" spans="1:21" ht="16.5">
      <c r="A2" s="7"/>
      <c r="B2" s="7" t="str">
        <f>"名前：【"&amp;プロフィール!C2&amp;"】　　種族：【"&amp;プロフィール!C3&amp;"】　　性別：【"&amp;プロフィール!C5&amp;"】　　年齢：【"&amp;プロフィール!C4&amp;"】"</f>
        <v>名前：【】　　種族：【只人】　　性別：【】　　年齢：【】</v>
      </c>
      <c r="C2" s="7"/>
      <c r="D2" s="7"/>
      <c r="E2" s="7"/>
      <c r="F2" s="7"/>
      <c r="G2" s="7"/>
      <c r="H2" s="7"/>
      <c r="I2" s="7"/>
      <c r="J2" s="2"/>
      <c r="K2" s="3"/>
      <c r="L2" s="3"/>
      <c r="M2" s="1"/>
      <c r="N2" s="3"/>
      <c r="O2" s="3"/>
      <c r="P2" s="1"/>
      <c r="Q2" s="3"/>
      <c r="R2" s="3"/>
      <c r="S2" s="3"/>
      <c r="T2" s="3"/>
      <c r="U2" s="3"/>
    </row>
    <row r="3" spans="1:21" ht="16.5">
      <c r="A3" s="7"/>
      <c r="B3" s="7" t="str">
        <f>"経歴：【"&amp;プロフィール!C6&amp;"／"&amp;プロフィール!C7&amp;"／"&amp;プロフィール!C8&amp;"】　　等級：【"&amp;プロフィール!C9&amp;"】"</f>
        <v>経歴：【騎士／平穏／宿敵】　　等級：【白磁等級】</v>
      </c>
      <c r="C3" s="7"/>
      <c r="D3" s="7"/>
      <c r="E3" s="7"/>
      <c r="F3" s="7"/>
      <c r="G3" s="7"/>
      <c r="H3" s="7"/>
      <c r="I3" s="7"/>
      <c r="J3" s="2"/>
      <c r="K3" s="3"/>
      <c r="L3" s="3"/>
      <c r="M3" s="1"/>
      <c r="N3" s="3"/>
      <c r="O3" s="3"/>
      <c r="P3" s="1"/>
      <c r="Q3" s="3"/>
      <c r="R3" s="3"/>
      <c r="S3" s="3"/>
      <c r="T3" s="3"/>
      <c r="U3" s="3"/>
    </row>
    <row r="4" spans="1:21" ht="16.5">
      <c r="A4" s="7"/>
      <c r="B4" s="7" t="str">
        <f>"身体的特徴：【"&amp;プロフィール!C10&amp;"】"</f>
        <v>身体的特徴：【】</v>
      </c>
      <c r="C4" s="7"/>
      <c r="D4" s="7"/>
      <c r="E4" s="7"/>
      <c r="F4" s="7"/>
      <c r="G4" s="7"/>
      <c r="H4" s="7"/>
      <c r="I4" s="7"/>
      <c r="J4" s="2"/>
      <c r="K4" s="3"/>
      <c r="L4" s="3"/>
      <c r="M4" s="1"/>
      <c r="N4" s="3"/>
      <c r="O4" s="3"/>
      <c r="P4" s="1"/>
      <c r="Q4" s="3"/>
      <c r="R4" s="3"/>
      <c r="S4" s="3"/>
      <c r="T4" s="3"/>
      <c r="U4" s="3"/>
    </row>
    <row r="5" spans="1:21" ht="16.5">
      <c r="A5" s="7"/>
      <c r="B5" s="7" t="str">
        <f>"経験点：【"&amp;冒険者職業レベル!D15&amp;"／"&amp;冒険者職業レベル!D13&amp;"】　　成長点【"&amp;冒険者職業レベル!D18&amp;"／"&amp;冒険者職業レベル!D16&amp;"】"</f>
        <v>経験点：【500／3000】　　成長点【0／10】</v>
      </c>
      <c r="C5" s="7"/>
      <c r="D5" s="7"/>
      <c r="E5" s="7"/>
      <c r="F5" s="7"/>
      <c r="G5" s="7"/>
      <c r="H5" s="7"/>
      <c r="I5" s="7"/>
      <c r="J5" s="2"/>
      <c r="K5" s="3"/>
      <c r="L5" s="3"/>
      <c r="M5" s="1"/>
      <c r="N5" s="3"/>
      <c r="O5" s="3"/>
      <c r="P5" s="1"/>
      <c r="Q5" s="3"/>
      <c r="R5" s="3"/>
      <c r="S5" s="3"/>
      <c r="T5" s="3"/>
      <c r="U5" s="3"/>
    </row>
    <row r="6" spans="1:21" ht="16.5">
      <c r="A6" s="7"/>
      <c r="B6" s="7" t="str">
        <f>"───────────────────────　 設定 　───────────────────────"</f>
        <v>───────────────────────　 設定 　───────────────────────</v>
      </c>
      <c r="C6" s="7"/>
      <c r="D6" s="7"/>
      <c r="E6" s="7"/>
      <c r="F6" s="7"/>
      <c r="G6" s="7"/>
      <c r="H6" s="7"/>
      <c r="I6" s="7"/>
      <c r="J6" s="2"/>
      <c r="K6" s="3"/>
      <c r="L6" s="3"/>
      <c r="M6" s="1"/>
      <c r="N6" s="3"/>
      <c r="O6" s="3"/>
      <c r="P6" s="1"/>
      <c r="Q6" s="3"/>
      <c r="R6" s="3"/>
      <c r="S6" s="3"/>
      <c r="T6" s="3"/>
      <c r="U6" s="3"/>
    </row>
    <row r="7" spans="1:21" ht="47.15" customHeight="1">
      <c r="A7" s="7"/>
      <c r="B7" s="105" t="str">
        <f>プロフィール!C14</f>
        <v/>
      </c>
      <c r="C7" s="105"/>
      <c r="D7" s="105"/>
      <c r="E7" s="105"/>
      <c r="F7" s="105"/>
      <c r="G7" s="105"/>
      <c r="H7" s="105"/>
      <c r="I7" s="105"/>
      <c r="J7" s="2"/>
      <c r="K7" s="3"/>
      <c r="L7" s="3"/>
      <c r="M7" s="1"/>
      <c r="N7" s="3"/>
      <c r="O7" s="3"/>
      <c r="P7" s="1"/>
      <c r="Q7" s="3"/>
      <c r="R7" s="3"/>
      <c r="S7" s="3"/>
      <c r="T7" s="3"/>
      <c r="U7" s="3"/>
    </row>
    <row r="8" spans="1:21" ht="16.5">
      <c r="A8" s="7"/>
      <c r="B8" s="7" t="str">
        <f>"──────────────────────────────────────────────────"</f>
        <v>──────────────────────────────────────────────────</v>
      </c>
      <c r="C8" s="7"/>
      <c r="D8" s="7"/>
      <c r="E8" s="7"/>
      <c r="F8" s="7"/>
      <c r="G8" s="7"/>
      <c r="H8" s="7"/>
      <c r="I8" s="7"/>
      <c r="J8" s="2"/>
      <c r="K8" s="3"/>
      <c r="L8" s="3"/>
      <c r="M8" s="1"/>
      <c r="N8" s="3"/>
      <c r="O8" s="3"/>
      <c r="P8" s="1"/>
      <c r="Q8" s="3"/>
      <c r="R8" s="3"/>
      <c r="S8" s="3"/>
      <c r="T8" s="3"/>
      <c r="U8" s="3"/>
    </row>
    <row r="9" spans="1:21" ht="150" customHeight="1">
      <c r="A9" s="7"/>
      <c r="B9" s="105" t="str">
        <f>能力値!B16&amp;CHAR(10)&amp;能力値!B17&amp;CHAR(10)&amp;能力値!B18&amp;CHAR(10)&amp;能力値!B19&amp;CHAR(10)&amp;能力値!B20&amp;CHAR(10)&amp;能力値!B21&amp;CHAR(10)&amp;能力値!B22&amp;CHAR(10)&amp;能力値!B23&amp;CHAR(10)&amp;能力値!B24&amp;CHAR(10)&amp;能力値!B25&amp;CHAR(10)&amp;能力値!B26&amp;CHAR(10)&amp;能力値!B27&amp;CHAR(10)&amp;能力値!B28</f>
        <v>　　　　┌───┬───┬───┬───┐
　　　　│体力点│魂魄点│技量点│知力点│
　　　　│　３　│　２　│　３　│　３　│
┌───┼───┼───┼───┼───┤
│集中度│　　　│　　　│　　　│　　　│
│　２　│　５　│　４　│　５　│　５　│
├───┼───┼───┼───┼───┤
│持久度│　　　│　　　│　　　│　　　│
│　４　│　７　│　６　│　７　│　７　│
├───┼───┼───┼───┼───┤
│反射度│　　　│　　　│　　　│　　　│
│　２　│　５　│　４　│　５　│　５　│
└───┴───┴───┴───┴───┘</v>
      </c>
      <c r="C9" s="105"/>
      <c r="D9" s="105"/>
      <c r="E9" s="105"/>
      <c r="F9" s="105"/>
      <c r="G9" s="105"/>
      <c r="H9" s="105"/>
      <c r="I9" s="105"/>
      <c r="J9" s="2"/>
      <c r="K9" s="3"/>
      <c r="L9" s="3"/>
      <c r="M9" s="1"/>
      <c r="N9" s="3"/>
      <c r="O9" s="3"/>
      <c r="P9" s="1"/>
      <c r="Q9" s="3"/>
      <c r="R9" s="3"/>
      <c r="S9" s="3"/>
      <c r="T9" s="3"/>
      <c r="U9" s="3"/>
    </row>
    <row r="10" spans="1:21" ht="16.5">
      <c r="A10" s="7"/>
      <c r="B10" s="7"/>
      <c r="C10" s="8"/>
      <c r="D10" s="8"/>
      <c r="E10" s="8"/>
      <c r="F10" s="8"/>
      <c r="G10" s="8"/>
      <c r="H10" s="7"/>
      <c r="I10" s="7"/>
      <c r="J10" s="2"/>
      <c r="M10" s="1"/>
      <c r="P10" s="1"/>
    </row>
    <row r="11" spans="1:21" ht="16.5">
      <c r="A11" s="7"/>
      <c r="B11" s="7" t="str">
        <f>"生命力：【"&amp;戦闘現在値!L25&amp;"】　 　 生命力2倍：【"&amp;戦闘現在値!L26&amp;"】　　　負傷点：【"&amp;戦闘現在値!L28&amp;"】 "</f>
        <v xml:space="preserve">生命力：【23】　 　 生命力2倍：【46】　　　負傷点：【0】 </v>
      </c>
      <c r="C11" s="8"/>
      <c r="D11" s="8"/>
      <c r="E11" s="8"/>
      <c r="F11" s="8"/>
      <c r="G11" s="8"/>
      <c r="H11" s="7"/>
      <c r="I11" s="7"/>
      <c r="J11" s="2"/>
      <c r="M11" s="1"/>
      <c r="P11" s="1"/>
    </row>
    <row r="12" spans="1:21" ht="16.5">
      <c r="A12" s="7"/>
      <c r="B12" s="7" t="str">
        <f>"移動力：【"&amp;戦闘現在値!L27&amp;"】　　呪文使用回数：【"&amp;状態!F13&amp;"】　 "&amp;IF(状態!F13&gt;0,REPT("□",戦闘現在値!L30),"")&amp;IF(状態!F13&gt;0,REPT("■",状態!F13-戦闘現在値!L30),"")</f>
        <v xml:space="preserve">移動力：【21】　　呪文使用回数：【0】　 </v>
      </c>
      <c r="C12" s="8"/>
      <c r="D12" s="8"/>
      <c r="E12" s="8"/>
      <c r="F12" s="8"/>
      <c r="G12" s="8"/>
      <c r="H12" s="7"/>
      <c r="I12" s="7"/>
      <c r="J12" s="2"/>
      <c r="M12" s="1"/>
      <c r="P12" s="1"/>
    </row>
    <row r="13" spans="1:21" ht="16.5">
      <c r="A13" s="7"/>
      <c r="B13" s="7" t="str">
        <f>"呪文抵抗基準値（魂魄反射＋冒険者LV+呪文抵抗）：【"&amp;能力値!D35&amp;"】 "</f>
        <v xml:space="preserve">呪文抵抗基準値（魂魄反射＋冒険者LV+呪文抵抗）：【5】 </v>
      </c>
      <c r="C13" s="8"/>
      <c r="D13" s="8"/>
      <c r="E13" s="8"/>
      <c r="F13" s="8"/>
      <c r="G13" s="8"/>
      <c r="H13" s="7"/>
      <c r="I13" s="7"/>
      <c r="J13" s="2"/>
      <c r="M13" s="1"/>
      <c r="P13" s="1"/>
    </row>
    <row r="14" spans="1:21" ht="16.5">
      <c r="A14" s="7"/>
      <c r="B14" s="7" t="str">
        <f>"因果点：【"&amp;戦闘現在値!L21&amp;"】"</f>
        <v>因果点：【3】</v>
      </c>
      <c r="C14" s="8"/>
      <c r="D14" s="8"/>
      <c r="E14" s="8"/>
      <c r="F14" s="8"/>
      <c r="G14" s="8"/>
      <c r="H14" s="7"/>
      <c r="I14" s="7"/>
      <c r="J14" s="2"/>
      <c r="M14" s="1"/>
      <c r="P14" s="1"/>
    </row>
    <row r="15" spans="1:21" ht="16.5">
      <c r="A15" s="7"/>
      <c r="B15" s="7"/>
      <c r="C15" s="8"/>
      <c r="D15" s="8"/>
      <c r="E15" s="8"/>
      <c r="F15" s="8"/>
      <c r="G15" s="8"/>
      <c r="H15" s="7"/>
      <c r="I15" s="7"/>
      <c r="J15" s="2"/>
      <c r="M15" s="1"/>
      <c r="P15" s="1"/>
    </row>
    <row r="16" spans="1:21" ht="16.5">
      <c r="A16" s="7"/>
      <c r="B16" s="7" t="str">
        <f>"◆消耗　"</f>
        <v>◆消耗　</v>
      </c>
      <c r="C16" s="8"/>
      <c r="D16" s="8"/>
      <c r="E16" s="8"/>
      <c r="F16" s="8"/>
      <c r="G16" s="8"/>
      <c r="H16" s="7"/>
      <c r="I16" s="7"/>
      <c r="J16" s="2"/>
      <c r="M16" s="1"/>
      <c r="P16" s="1"/>
    </row>
    <row r="17" spans="1:16" ht="16.5">
      <c r="A17" s="7"/>
      <c r="B17" s="7" t="str">
        <f>"　 1　　"&amp;IF(戦闘現在値!L23&lt;冒険者職業レベル!E22,REPT("■",戦闘現在値!L23)&amp;REPT("□",冒険者職業レベル!E22-戦闘現在値!L23),REPT("■",冒険者職業レベル!D22))&amp;"　　全判定－２ "</f>
        <v xml:space="preserve">　 1　　□□□□□　　全判定－２ </v>
      </c>
      <c r="C17" s="8"/>
      <c r="D17" s="8"/>
      <c r="E17" s="8"/>
      <c r="F17" s="8"/>
      <c r="G17" s="8"/>
      <c r="H17" s="7"/>
      <c r="I17" s="7"/>
      <c r="J17" s="2"/>
      <c r="M17" s="1"/>
      <c r="P17" s="1"/>
    </row>
    <row r="18" spans="1:16" ht="16.5">
      <c r="A18" s="7"/>
      <c r="B18" s="7" t="str">
        <f>"　 2　　"&amp;IF(戦闘現在値!L23&lt;冒険者職業レベル!E22,REPT("□",冒険者職業レベル!D23),IF(戦闘現在値!L23&lt;冒険者職業レベル!E23,REPT("■",戦闘現在値!L23-冒険者職業レベル!E22)&amp;REPT("□",冒険者職業レベル!E23-戦闘現在値!L23),REPT("■",冒険者職業レベル!D23)))&amp;"　　　全判定－３　移動力半減 "</f>
        <v xml:space="preserve">　 2　　□□□□　　　全判定－３　移動力半減 </v>
      </c>
      <c r="C18" s="8"/>
      <c r="D18" s="8"/>
      <c r="E18" s="8"/>
      <c r="F18" s="8"/>
      <c r="G18" s="8"/>
      <c r="H18" s="7"/>
      <c r="I18" s="7"/>
      <c r="J18" s="2"/>
      <c r="M18" s="1"/>
      <c r="P18" s="1"/>
    </row>
    <row r="19" spans="1:16" ht="16.5">
      <c r="A19" s="7"/>
      <c r="B19" s="7" t="str">
        <f>"　 3　　"&amp;IF(戦闘現在値!L23&lt;冒険者職業レベル!E23,REPT("□",冒険者職業レベル!D24),IF(戦闘現在値!L23&lt;冒険者職業レベル!E24,REPT("■",戦闘現在値!L23-冒険者職業レベル!E23)&amp;REPT("□",冒険者職業レベル!E24-戦闘現在値!L23),REPT("■",冒険者職業レベル!D24)))&amp;"　　　　全判定－４　移動力と生命力半減  "</f>
        <v xml:space="preserve">　 3　　□□□　　　　全判定－４　移動力と生命力半減  </v>
      </c>
      <c r="C19" s="8"/>
      <c r="D19" s="8"/>
      <c r="E19" s="8"/>
      <c r="F19" s="8"/>
      <c r="G19" s="8"/>
      <c r="H19" s="7"/>
      <c r="I19" s="7"/>
      <c r="J19" s="2"/>
      <c r="M19" s="1"/>
      <c r="P19" s="1"/>
    </row>
    <row r="20" spans="1:16" ht="16.5">
      <c r="A20" s="7"/>
      <c r="B20" s="7" t="str">
        <f>"　 4　　"&amp;IF(戦闘現在値!L23&lt;冒険者職業レベル!E24,REPT("□",冒険者職業レベル!D25),IF(戦闘現在値!L23&lt;冒険者職業レベル!E25,REPT("■",戦闘現在値!L23-冒険者職業レベル!E24)&amp;REPT("□",冒険者職業レベル!E25-戦闘現在値!L23),REPT("■",冒険者職業レベル!D25)))&amp;"　　　　　気絶　移動不可　生命力半減   "</f>
        <v xml:space="preserve">　 4　　□□　　　　　気絶　移動不可　生命力半減   </v>
      </c>
      <c r="C20" s="8"/>
      <c r="D20" s="8"/>
      <c r="E20" s="8"/>
      <c r="F20" s="8"/>
      <c r="G20" s="8"/>
      <c r="H20" s="7"/>
      <c r="I20" s="7"/>
      <c r="J20" s="2"/>
      <c r="M20" s="1"/>
      <c r="P20" s="1"/>
    </row>
    <row r="21" spans="1:16" ht="16.5">
      <c r="A21" s="7"/>
      <c r="B21" s="7" t="str">
        <f>"　 5　　"&amp;IF(戦闘現在値!L23&lt;冒険者職業レベル!E25,REPT("□",冒険者職業レベル!D26),IF(戦闘現在値!L23&lt;冒険者職業レベル!E26,REPT("■",戦闘現在値!L23-冒険者職業レベル!E25)&amp;REPT("□",冒険者職業レベル!E26-戦闘現在値!L23),REPT("■",冒険者職業レベル!D26)))&amp;"　　　　　　死亡   "</f>
        <v xml:space="preserve">　 5　　□　　　　　　死亡   </v>
      </c>
      <c r="C21" s="8"/>
      <c r="D21" s="8"/>
      <c r="E21" s="8"/>
      <c r="F21" s="8"/>
      <c r="G21" s="8"/>
      <c r="H21" s="7"/>
      <c r="I21" s="7"/>
      <c r="J21" s="2"/>
      <c r="M21" s="1"/>
      <c r="P21" s="1"/>
    </row>
    <row r="22" spans="1:16" ht="16.5">
      <c r="A22" s="7"/>
      <c r="B22" s="7"/>
      <c r="C22" s="8"/>
      <c r="D22" s="8"/>
      <c r="E22" s="8"/>
      <c r="F22" s="8"/>
      <c r="G22" s="8"/>
      <c r="H22" s="7"/>
      <c r="I22" s="7"/>
      <c r="J22" s="2"/>
      <c r="M22" s="1"/>
      <c r="P22" s="1"/>
    </row>
    <row r="23" spans="1:16" ht="16.5">
      <c r="A23" s="7"/>
      <c r="B23" s="7" t="str">
        <f>"◆継戦カウンター "</f>
        <v xml:space="preserve">◆継戦カウンター </v>
      </c>
      <c r="C23" s="8"/>
      <c r="D23" s="8"/>
      <c r="E23" s="8"/>
      <c r="F23" s="8"/>
      <c r="G23" s="8"/>
      <c r="H23" s="7"/>
      <c r="I23" s="7"/>
      <c r="J23" s="2"/>
      <c r="M23" s="1"/>
      <c r="P23" s="1"/>
    </row>
    <row r="24" spans="1:16" ht="16.5">
      <c r="A24" s="7"/>
      <c r="B24" s="7" t="str">
        <f>IF(戦闘現在値!L24&gt;0,"■","□")&amp;IF(戦闘現在値!L24&gt;1,"■","□")&amp;IF(戦闘現在値!L24&gt;2,"■","□")&amp;IF(戦闘現在値!L24&gt;3,"■","□")&amp;IF(戦闘現在値!L24&gt;4,"●","○")&amp;"　5　"&amp;IF(戦闘現在値!L24&gt;5,"■","□")&amp;IF(戦闘現在値!L24&gt;6,"■","□")&amp;IF(戦闘現在値!L24&gt;7,"●","○")&amp;IF(戦闘現在値!L24&gt;8,"■","□")&amp;IF(戦闘現在値!L24&gt;9,"■","□")&amp;"10　"&amp;IF(戦闘現在値!L24&gt;10,"●","○")&amp;IF(戦闘現在値!L24&gt;11,"■","□")&amp;IF(戦闘現在値!L24&gt;12,"■","□")&amp;IF(戦闘現在値!L24&gt;13,"●","○")&amp;IF(戦闘現在値!L24&gt;14,"■","□")&amp;"15　"&amp;IF(戦闘現在値!L24&gt;15,"●","○")&amp;IF(戦闘現在値!L24&gt;16,"■","□")&amp;IF(戦闘現在値!L24&gt;17,"●","○")&amp;IF(戦闘現在値!L24&gt;18,"■","□")&amp;IF(戦闘現在値!L24&gt;19,"●","○")&amp;"20　"</f>
        <v>□□□□○　5　□□○□□10　○□□○□15　○□○□○20　</v>
      </c>
      <c r="C24" s="8"/>
      <c r="D24" s="8"/>
      <c r="E24" s="8"/>
      <c r="F24" s="8"/>
      <c r="G24" s="8"/>
      <c r="H24" s="7"/>
      <c r="I24" s="7"/>
      <c r="J24" s="2"/>
      <c r="M24" s="1"/>
      <c r="P24" s="1"/>
    </row>
    <row r="25" spans="1:16" ht="16.5">
      <c r="A25" s="7"/>
      <c r="B25" s="7" t="str">
        <f>IF(戦闘現在値!L24&gt;20,"●","○")&amp;IF(戦闘現在値!L24&gt;21,"●","○")&amp;IF(戦闘現在値!L24&gt;22,"●","○")&amp;IF(戦闘現在値!L24&gt;23,"●","○")&amp;IF(戦闘現在値!L24&gt;24,"●","○")&amp;"25　"&amp;IF(戦闘現在値!L24&gt;25,"●","○")&amp;IF(戦闘現在値!L24&gt;26,"●","○")&amp;IF(戦闘現在値!L24&gt;27,"●","○")&amp;IF(戦闘現在値!L24&gt;28,"●","○")&amp;IF(戦闘現在値!L24&gt;29,"●","○")&amp;"30　"&amp;IF(戦闘現在値!L24&gt;30,"●","○")&amp;IF(戦闘現在値!L24&gt;31,"●","○")&amp;IF(戦闘現在値!L24&gt;32,"●","○")&amp;IF(戦闘現在値!L24&gt;33,"●","○")&amp;IF(戦闘現在値!L24&gt;34,"●","○")&amp;"35　"&amp;IF(戦闘現在値!L24&gt;35,"●","○")&amp;IF(戦闘現在値!L24&gt;36,"●","○")&amp;IF(戦闘現在値!L24&gt;37,"●","○")&amp;IF(戦闘現在値!L24&gt;38,"●","○")&amp;IF(戦闘現在値!L24&gt;39,"●","○")&amp;"40　"</f>
        <v>○○○○○25　○○○○○30　○○○○○35　○○○○○40　</v>
      </c>
      <c r="C25" s="8"/>
      <c r="D25" s="8"/>
      <c r="E25" s="8"/>
      <c r="F25" s="8"/>
      <c r="G25" s="8"/>
      <c r="H25" s="7"/>
      <c r="I25" s="7"/>
      <c r="J25" s="2"/>
      <c r="M25" s="1"/>
      <c r="P25" s="1"/>
    </row>
    <row r="26" spans="1:16" ht="16.5">
      <c r="A26" s="7"/>
      <c r="B26" s="7" t="s">
        <v>374</v>
      </c>
      <c r="C26" s="8"/>
      <c r="D26" s="8"/>
      <c r="E26" s="8"/>
      <c r="F26" s="8"/>
      <c r="G26" s="8"/>
      <c r="H26" s="7"/>
      <c r="I26" s="7"/>
      <c r="J26" s="2"/>
      <c r="M26" s="1"/>
      <c r="P26" s="1"/>
    </row>
    <row r="27" spans="1:16" ht="16.5">
      <c r="A27" s="7"/>
      <c r="B27" s="7"/>
      <c r="C27" s="8"/>
      <c r="D27" s="8"/>
      <c r="E27" s="8"/>
      <c r="F27" s="8"/>
      <c r="G27" s="8"/>
      <c r="H27" s="7"/>
      <c r="I27" s="7"/>
      <c r="J27" s="2"/>
      <c r="M27" s="1"/>
      <c r="P27" s="1"/>
    </row>
    <row r="28" spans="1:16" ht="16.5">
      <c r="A28" s="7"/>
      <c r="B28" s="7" t="str">
        <f>"◆冒険者レベル：【"&amp;冒険者職業レベル!D19&amp;"】"</f>
        <v>◆冒険者レベル：【1】</v>
      </c>
      <c r="C28" s="8"/>
      <c r="D28" s="8"/>
      <c r="E28" s="8"/>
      <c r="F28" s="8"/>
      <c r="G28" s="8"/>
      <c r="H28" s="7"/>
      <c r="I28" s="7"/>
      <c r="J28" s="2"/>
      <c r="M28" s="1"/>
      <c r="P28" s="1"/>
    </row>
    <row r="29" spans="1:16" ht="16.5">
      <c r="A29" s="7"/>
      <c r="B29" s="7" t="str">
        <f>" 職業レベル："&amp;冒険者職業レベル!C34&amp;冒険者職業レベル!C35&amp;冒険者職業レベル!C36&amp;冒険者職業レベル!C37&amp;冒険者職業レベル!C38&amp;冒険者職業レベル!C39&amp;冒険者職業レベル!C40&amp;冒険者職業レベル!C41</f>
        <v xml:space="preserve"> 職業レベル：【戦士：3】</v>
      </c>
      <c r="C29" s="8"/>
      <c r="D29" s="8"/>
      <c r="E29" s="8"/>
      <c r="F29" s="8"/>
      <c r="G29" s="8"/>
      <c r="H29" s="7"/>
      <c r="I29" s="7"/>
      <c r="J29" s="2"/>
      <c r="M29" s="1"/>
      <c r="P29" s="1"/>
    </row>
    <row r="30" spans="1:16" ht="16.5">
      <c r="A30" s="7"/>
      <c r="B30" s="7"/>
      <c r="C30" s="8"/>
      <c r="D30" s="8"/>
      <c r="E30" s="8"/>
      <c r="F30" s="8"/>
      <c r="G30" s="8"/>
      <c r="H30" s="7"/>
      <c r="I30" s="7"/>
      <c r="J30" s="2"/>
      <c r="M30" s="1"/>
      <c r="P30" s="1"/>
    </row>
    <row r="31" spans="1:16" ht="124.5" customHeight="1">
      <c r="A31" s="7"/>
      <c r="B31" s="105" t="str">
        <f>"◆冒険者技能　　　　　　初歩　／　習熟　　／　熟達　　／　達人　　／　伝説　　／　効果 "&amp;冒険者技能!N1</f>
        <v>◆冒険者技能　　　　　　初歩　／　習熟　　／　熟達　　／　達人　　／　伝説　　／　効果 
【頑健】　　　　　　　　　●　　　　　○　　　　　○　　　　　○　　 　　○　 ／
【幸運】　　　　　　　　　●　　　　　○　　　　　○　　　　　○　　 　　○　 ／
【荷重行動】　　　　　　　●　　　　　○　　　　　○　　　　　○　　 　　○　 ／
【挑発】　　　　　　　　　●　　　　　○　　　　　○　　　　　○　　 　　○　 ／
【武器：投擲武器】　　　　●　　　　　○　　　　　○　　　　　○　　 　　○　 ／</v>
      </c>
      <c r="C31" s="105"/>
      <c r="D31" s="105"/>
      <c r="E31" s="105"/>
      <c r="F31" s="105"/>
      <c r="G31" s="105"/>
      <c r="H31" s="105"/>
      <c r="I31" s="105"/>
      <c r="J31" s="2"/>
      <c r="M31" s="1"/>
      <c r="P31" s="1"/>
    </row>
    <row r="32" spans="1:16" ht="16.5">
      <c r="A32" s="7"/>
      <c r="B32" s="7"/>
      <c r="C32" s="8"/>
      <c r="D32" s="8"/>
      <c r="E32" s="8"/>
      <c r="F32" s="8"/>
      <c r="G32" s="8"/>
      <c r="H32" s="7"/>
      <c r="I32" s="7"/>
      <c r="J32" s="2"/>
      <c r="M32" s="1"/>
      <c r="P32" s="1"/>
    </row>
    <row r="33" spans="1:16" ht="67" customHeight="1">
      <c r="A33" s="7"/>
      <c r="B33" s="105" t="str">
        <f>"◆一般技能　　　　　　　初歩　／　　習熟　／　　熟達　／　効果 "&amp;一般技能!K1</f>
        <v>◆一般技能　　　　　　　初歩　／　　習熟　／　　熟達　／　効果 
【騎乗】　　　　　　　　　●　　　　　○　　　　　○　 ／
【長距離移動】　　　　　　●　　　　　○　　　　　○　 ／</v>
      </c>
      <c r="C33" s="105"/>
      <c r="D33" s="105"/>
      <c r="E33" s="105"/>
      <c r="F33" s="105"/>
      <c r="G33" s="105"/>
      <c r="H33" s="105"/>
      <c r="I33" s="105"/>
      <c r="J33" s="2"/>
      <c r="M33" s="1"/>
      <c r="P33" s="1"/>
    </row>
    <row r="34" spans="1:16" ht="16.5">
      <c r="A34" s="7"/>
      <c r="B34" s="7"/>
      <c r="C34" s="8"/>
      <c r="D34" s="8"/>
      <c r="E34" s="8"/>
      <c r="F34" s="8"/>
      <c r="G34" s="8"/>
      <c r="H34" s="7"/>
      <c r="I34" s="7"/>
      <c r="J34" s="2"/>
      <c r="M34" s="1"/>
      <c r="P34" s="1"/>
    </row>
    <row r="35" spans="1:16" ht="16.5">
      <c r="A35" s="7"/>
      <c r="B35" s="9" t="s">
        <v>375</v>
      </c>
      <c r="C35" s="8"/>
      <c r="D35" s="8"/>
      <c r="E35" s="8"/>
      <c r="F35" s="8"/>
      <c r="G35" s="8"/>
      <c r="H35" s="7"/>
      <c r="I35" s="7"/>
      <c r="J35" s="2"/>
      <c r="M35" s="1"/>
      <c r="P35" s="1"/>
    </row>
    <row r="36" spans="1:16" ht="16.5">
      <c r="A36" s="7"/>
      <c r="B36" s="7" t="str">
        <f>" 真言呪文：呪文行使基準値（知力集中）：【"&amp;能力値!M10&amp;"】 "</f>
        <v xml:space="preserve"> 真言呪文：呪文行使基準値（知力集中）：【５】 </v>
      </c>
      <c r="C36" s="7"/>
      <c r="D36" s="7"/>
      <c r="E36" s="7"/>
      <c r="F36" s="7"/>
      <c r="G36" s="7"/>
      <c r="H36" s="7"/>
      <c r="I36" s="7"/>
      <c r="J36" s="2"/>
      <c r="M36" s="1"/>
      <c r="P36" s="1"/>
    </row>
    <row r="37" spans="1:16" ht="16.5">
      <c r="A37" s="7"/>
      <c r="B37" s="7" t="str">
        <f>" 奇跡／祖竜／精霊：呪文行使基準値（魂魄集中）：【"&amp;能力値!K10&amp;"】 "</f>
        <v xml:space="preserve"> 奇跡／祖竜／精霊：呪文行使基準値（魂魄集中）：【４】 </v>
      </c>
      <c r="C37" s="10"/>
      <c r="D37" s="7"/>
      <c r="E37" s="11"/>
      <c r="F37" s="7"/>
      <c r="G37" s="10"/>
      <c r="H37" s="7"/>
      <c r="I37" s="7"/>
      <c r="J37" s="2"/>
      <c r="M37" s="1"/>
      <c r="P37" s="1"/>
    </row>
    <row r="38" spans="1:16" ht="16.5">
      <c r="A38" s="7"/>
      <c r="B38" s="7" t="str">
        <f>"呪文行使 真言：【"&amp;IF(冒険者職業レベル!E7&gt;0,能力値!M10+冒険者職業レベル!E7&amp;IF(装備!AV1&gt;0,"+"&amp;装備!AV1&amp;"(武器)","")&amp;IF(その他の所持品!F1&gt;0,"+"&amp;その他の所持品!F1&amp;"(道具)",""),0)&amp;"】　　奇跡：【"&amp;IF(冒険者職業レベル!E8&gt;0,能力値!K10+冒険者職業レベル!E8&amp;IF(装備!AW1&gt;0,"+"&amp;装備!AW1&amp;"(武器)","")&amp;IF(その他の所持品!G1&gt;0,"+"&amp;その他の所持品!G1&amp;"(道具)",""),0)&amp;"】　　祖竜：【"&amp;IF(冒険者職業レベル!E9&gt;0,能力値!K10+冒険者職業レベル!E9&amp;IF(装備!BB1&gt;0,"+"&amp;装備!BB1&amp;"(武器)","")&amp;IF(その他の所持品!H1&gt;0,"+"&amp;その他の所持品!H1&amp;"(道具)",""),0)&amp;"】　　精霊：【"&amp;IF(冒険者職業レベル!E10&gt;0,能力値!K10+冒険者職業レベル!E10&amp;IF(装備!BC1&gt;0,"+"&amp;装備!BC1&amp;"(武器)","")&amp;IF(その他の所持品!I1&gt;0,"+"&amp;その他の所持品!I1&amp;"(道具)",""),0)&amp;"】 "</f>
        <v xml:space="preserve">呪文行使 真言：【0】　　奇跡：【0】　　祖竜：【0】　　精霊：【0】 </v>
      </c>
      <c r="C38" s="10"/>
      <c r="D38" s="7"/>
      <c r="E38" s="12"/>
      <c r="F38" s="7"/>
      <c r="G38" s="10"/>
      <c r="H38" s="7"/>
      <c r="I38" s="7"/>
      <c r="J38" s="2"/>
      <c r="M38" s="1"/>
      <c r="P38" s="1"/>
    </row>
    <row r="39" spans="1:16" ht="16.5">
      <c r="A39" s="7"/>
      <c r="B39" s="7" t="str">
        <f>" 真言呪文：呪文維持基準値（知力持久）：【"&amp;能力値!M11&amp;"】 "</f>
        <v xml:space="preserve"> 真言呪文：呪文維持基準値（知力持久）：【７】 </v>
      </c>
      <c r="C39" s="10"/>
      <c r="D39" s="7"/>
      <c r="E39" s="12"/>
      <c r="F39" s="7"/>
      <c r="G39" s="10"/>
      <c r="H39" s="7"/>
      <c r="I39" s="7"/>
      <c r="J39" s="2"/>
      <c r="M39" s="1"/>
      <c r="P39" s="1"/>
    </row>
    <row r="40" spans="1:16" ht="16.5">
      <c r="A40" s="7"/>
      <c r="B40" s="7" t="str">
        <f>" 奇跡／祖竜／精霊：呪文行使基準値（魂魄持久）：【"&amp;能力値!K11&amp;"】 "</f>
        <v xml:space="preserve"> 奇跡／祖竜／精霊：呪文行使基準値（魂魄持久）：【６】 </v>
      </c>
      <c r="C40" s="10"/>
      <c r="D40" s="7"/>
      <c r="E40" s="12"/>
      <c r="F40" s="7"/>
      <c r="G40" s="10"/>
      <c r="H40" s="7"/>
      <c r="I40" s="7"/>
      <c r="J40" s="2"/>
      <c r="M40" s="1"/>
      <c r="P40" s="1"/>
    </row>
    <row r="41" spans="1:16" ht="16.5">
      <c r="A41" s="7"/>
      <c r="B41" s="7" t="str">
        <f>"呪文維持 真言：【"&amp;IF(冒険者職業レベル!E7&gt;0,能力値!M11+冒険者職業レベル!E7,0)&amp;"】　　奇跡：【"&amp;IF(冒険者職業レベル!E8&gt;0,能力値!K11+冒険者職業レベル!E8,0)&amp;"】　　祖竜：【"&amp;IF(冒険者職業レベル!E9&gt;0,能力値!K11+冒険者職業レベル!E9,0)&amp;"】　　精霊：【"&amp;IF(冒険者職業レベル!E10&gt;0,能力値!K11+冒険者職業レベル!E10,0)&amp;"】 "</f>
        <v xml:space="preserve">呪文維持 真言：【0】　　奇跡：【0】　　祖竜：【0】　　精霊：【0】 </v>
      </c>
      <c r="C41" s="10"/>
      <c r="D41" s="7"/>
      <c r="E41" s="12"/>
      <c r="F41" s="7"/>
      <c r="G41" s="10"/>
      <c r="H41" s="7"/>
      <c r="I41" s="7"/>
      <c r="J41" s="2"/>
      <c r="M41" s="1"/>
      <c r="P41" s="1"/>
    </row>
    <row r="42" spans="1:16" ht="16.5">
      <c r="A42" s="7"/>
      <c r="B42" s="107" t="str">
        <f>"呪文関連技能："&amp;冒険者技能!Q1</f>
        <v>呪文関連技能：</v>
      </c>
      <c r="C42" s="107"/>
      <c r="D42" s="107"/>
      <c r="E42" s="107"/>
      <c r="F42" s="107"/>
      <c r="G42" s="107"/>
      <c r="H42" s="107"/>
      <c r="I42" s="107"/>
      <c r="J42" s="2"/>
      <c r="M42" s="1"/>
      <c r="P42" s="1"/>
    </row>
    <row r="43" spans="1:16" ht="97.5" customHeight="1">
      <c r="A43" s="7"/>
      <c r="B43" s="105" t="str">
        <f>"◎習得呪文"&amp;習得呪文!H1</f>
        <v>◎習得呪文</v>
      </c>
      <c r="C43" s="105"/>
      <c r="D43" s="105"/>
      <c r="E43" s="105"/>
      <c r="F43" s="105"/>
      <c r="G43" s="105"/>
      <c r="H43" s="105"/>
      <c r="I43" s="105"/>
      <c r="J43" s="2"/>
      <c r="M43" s="1"/>
      <c r="P43" s="1"/>
    </row>
    <row r="44" spans="1:16" ht="16.5">
      <c r="A44" s="7"/>
      <c r="B44" s="7"/>
      <c r="C44" s="10"/>
      <c r="D44" s="7"/>
      <c r="E44" s="7"/>
      <c r="F44" s="7"/>
      <c r="G44" s="10"/>
      <c r="H44" s="7"/>
      <c r="I44" s="7"/>
      <c r="J44" s="2"/>
      <c r="M44" s="1"/>
      <c r="P44" s="1"/>
    </row>
    <row r="45" spans="1:16" ht="16.5">
      <c r="A45" s="7"/>
      <c r="B45" s="7" t="str">
        <f>"◆攻撃"</f>
        <v>◆攻撃</v>
      </c>
      <c r="C45" s="10"/>
      <c r="D45" s="7"/>
      <c r="E45" s="7"/>
      <c r="F45" s="7"/>
      <c r="G45" s="7"/>
      <c r="H45" s="7"/>
      <c r="I45" s="7"/>
      <c r="J45" s="2"/>
      <c r="M45" s="1"/>
      <c r="P45" s="1"/>
    </row>
    <row r="46" spans="1:16" ht="16.5">
      <c r="A46" s="7"/>
      <c r="B46" s="7" t="str">
        <f>"命中基準値（技量集中）：【"&amp;能力値!L10&amp;"】 "</f>
        <v xml:space="preserve">命中基準値（技量集中）：【５】 </v>
      </c>
      <c r="C46" s="7"/>
      <c r="D46" s="7"/>
      <c r="E46" s="7"/>
      <c r="F46" s="7"/>
      <c r="G46" s="7"/>
      <c r="H46" s="7"/>
      <c r="I46" s="7"/>
      <c r="J46" s="2"/>
      <c r="M46" s="1"/>
      <c r="P46" s="1"/>
    </row>
    <row r="47" spans="1:16" ht="16.5">
      <c r="A47" s="7"/>
      <c r="B47" s="7" t="str">
        <f>"近接：【"&amp;MAX(冒険者職業レベル!E3,冒険者職業レベル!E4,冒険者職業レベル!E6)+能力値!L10&amp;"】　　弩弓：【"&amp;能力値!L10+MAX(冒険者職業レベル!E5,冒険者職業レベル!E6)&amp;"】　　投擲：【"&amp;能力値!L10+MAX(冒険者職業レベル!E5,冒険者職業レベル!E6,冒険者職業レベル!E4)&amp;"】 "</f>
        <v xml:space="preserve">近接：【8】　　弩弓：【5】　　投擲：【5】 </v>
      </c>
      <c r="C47" s="7"/>
      <c r="D47" s="7"/>
      <c r="E47" s="10"/>
      <c r="F47" s="7"/>
      <c r="G47" s="7"/>
      <c r="H47" s="7"/>
      <c r="I47" s="7"/>
      <c r="J47" s="2"/>
      <c r="M47" s="1"/>
      <c r="P47" s="1"/>
    </row>
    <row r="48" spans="1:16" ht="16.5">
      <c r="A48" s="7"/>
      <c r="B48" s="7"/>
      <c r="C48" s="10"/>
      <c r="D48" s="7"/>
      <c r="E48" s="7"/>
      <c r="F48" s="7"/>
      <c r="G48" s="7"/>
      <c r="H48" s="7"/>
      <c r="I48" s="7"/>
      <c r="J48" s="2"/>
      <c r="M48" s="1"/>
      <c r="P48" s="1"/>
    </row>
    <row r="49" spans="1:16" ht="192.65" customHeight="1">
      <c r="A49" s="7"/>
      <c r="B49" s="105" t="str">
        <f>装備!V1</f>
        <v xml:space="preserve">
◎武器：【小剣】
用途／属性：【武器：片手剣軽片手／斬刺殴 】　　命中値合計：【6】
ダメージ：1d6+3
クラス：戦士3
効果：投擲適用、受け流し(+0)、強打・斬(+0)、刺突(+1)</v>
      </c>
      <c r="C49" s="105"/>
      <c r="D49" s="105"/>
      <c r="E49" s="105"/>
      <c r="F49" s="105"/>
      <c r="G49" s="105"/>
      <c r="H49" s="105"/>
      <c r="I49" s="105"/>
      <c r="J49" s="2"/>
      <c r="M49" s="1"/>
      <c r="P49" s="1"/>
    </row>
    <row r="50" spans="1:16" ht="26.5" customHeight="1">
      <c r="A50" s="7"/>
      <c r="B50" s="106" t="str">
        <f>"◎効力値"&amp;CHAR(10)&amp;"-１４：無し　１５－１９：＋１D６　２０－２４：＋２D６　２５－２９：＋３D６　３０－３９：＋４D６　４０：＋５D６"</f>
        <v>◎効力値
-１４：無し　１５－１９：＋１D６　２０－２４：＋２D６　２５－２９：＋３D６　３０－３９：＋４D６　４０：＋５D６</v>
      </c>
      <c r="C50" s="106"/>
      <c r="D50" s="106"/>
      <c r="E50" s="106"/>
      <c r="F50" s="106"/>
      <c r="G50" s="106"/>
      <c r="H50" s="106"/>
      <c r="I50" s="106"/>
      <c r="J50" s="2"/>
      <c r="M50" s="1"/>
      <c r="P50" s="1"/>
    </row>
    <row r="51" spans="1:16" ht="16.5">
      <c r="A51" s="7"/>
      <c r="B51" s="7"/>
      <c r="C51" s="10"/>
      <c r="D51" s="7"/>
      <c r="E51" s="7"/>
      <c r="F51" s="7"/>
      <c r="G51" s="7"/>
      <c r="H51" s="7"/>
      <c r="I51" s="7"/>
      <c r="J51" s="2"/>
      <c r="M51" s="1"/>
      <c r="P51" s="1"/>
    </row>
    <row r="52" spans="1:16" ht="16.5">
      <c r="A52" s="7"/>
      <c r="B52" s="7" t="str">
        <f>"◆防御 "</f>
        <v xml:space="preserve">◆防御 </v>
      </c>
      <c r="C52" s="10"/>
      <c r="D52" s="7"/>
      <c r="E52" s="7"/>
      <c r="F52" s="7"/>
      <c r="G52" s="7"/>
      <c r="H52" s="7"/>
      <c r="I52" s="7"/>
      <c r="J52" s="2"/>
      <c r="M52" s="1"/>
      <c r="P52" s="1"/>
    </row>
    <row r="53" spans="1:16" ht="16.5">
      <c r="A53" s="7"/>
      <c r="B53" s="7" t="str">
        <f>"回避基準値（技量反射）：【"&amp;能力値!L12&amp;"】 "</f>
        <v xml:space="preserve">回避基準値（技量反射）：【５】 </v>
      </c>
      <c r="C53" s="10"/>
      <c r="D53" s="7"/>
      <c r="E53" s="7"/>
      <c r="F53" s="7"/>
      <c r="G53" s="7"/>
      <c r="H53" s="7"/>
      <c r="I53" s="7"/>
      <c r="J53" s="2"/>
      <c r="M53" s="1"/>
      <c r="P53" s="1"/>
    </row>
    <row r="54" spans="1:16" ht="16.5">
      <c r="A54" s="7"/>
      <c r="B54" s="7" t="str">
        <f>IF(MAX(冒険者職業レベル!E3,冒険者職業レベル!E4,冒険者職業レベル!E6)=0,"","【"&amp;VLOOKUP(MAX(冒険者職業レベル!E3,冒険者職業レベル!E4,冒険者職業レベル!E6),冒険者職業レベル!$O$3:$P$5,2,FALSE)&amp;"："&amp;MAX(冒険者職業レベル!E3,冒険者職業レベル!E4,冒険者職業レベル!E6)&amp;"】")</f>
        <v>【戦士：3】</v>
      </c>
      <c r="C54" s="10"/>
      <c r="D54" s="7"/>
      <c r="E54" s="7"/>
      <c r="F54" s="7"/>
      <c r="G54" s="7"/>
      <c r="H54" s="7"/>
      <c r="I54" s="7"/>
      <c r="J54" s="2"/>
      <c r="M54" s="1"/>
      <c r="P54" s="1"/>
    </row>
    <row r="55" spans="1:16" ht="141.65" customHeight="1">
      <c r="A55" s="7"/>
      <c r="B55" s="105" t="str">
        <f>装備!V13&amp;CHAR(10)&amp;CHAR(10)&amp;装備!V17</f>
        <v xml:space="preserve">
◎鎧：【革鎧】
属性：【鎧：軽鎧(革)／軽 】　　回避値合計：【8】
移動力合計：【21】　　装甲値合計：【2】　隠密性：【普通(-4)】 
効果：なし
◎盾：【円盾】
属性：【小型盾(木)／軽 】
盾受け基準値合計：【12】　　盾受け値＋装甲合計：【3+2】　　隠密性：【普通(-4)】 
効果：なし</v>
      </c>
      <c r="C55" s="105"/>
      <c r="D55" s="105"/>
      <c r="E55" s="105"/>
      <c r="F55" s="105"/>
      <c r="G55" s="105"/>
      <c r="H55" s="105"/>
      <c r="I55" s="105"/>
      <c r="J55" s="2"/>
      <c r="M55" s="1"/>
      <c r="P55" s="1"/>
    </row>
    <row r="56" spans="1:16" ht="16.5">
      <c r="A56" s="7"/>
      <c r="B56" s="7"/>
      <c r="C56" s="10"/>
      <c r="D56" s="7"/>
      <c r="E56" s="7"/>
      <c r="F56" s="7"/>
      <c r="G56" s="7"/>
      <c r="H56" s="7"/>
      <c r="I56" s="7"/>
      <c r="J56" s="2"/>
      <c r="M56" s="1"/>
      <c r="P56" s="1"/>
    </row>
    <row r="57" spans="1:16" ht="16.5">
      <c r="A57" s="7"/>
      <c r="B57" s="7" t="str">
        <f>"◆所持金 "</f>
        <v xml:space="preserve">◆所持金 </v>
      </c>
      <c r="C57" s="7"/>
      <c r="D57" s="7"/>
      <c r="E57" s="7"/>
      <c r="F57" s="7"/>
      <c r="G57" s="7"/>
      <c r="H57" s="7"/>
      <c r="I57" s="7"/>
      <c r="J57" s="2"/>
      <c r="M57" s="1"/>
      <c r="P57" s="1"/>
    </row>
    <row r="58" spans="1:16" ht="16.5">
      <c r="A58" s="7"/>
      <c r="B58" s="7" t="str">
        <f>"銀貨："&amp;所持金!B1</f>
        <v>銀貨：5</v>
      </c>
      <c r="C58" s="10"/>
      <c r="D58" s="7"/>
      <c r="E58" s="7"/>
      <c r="F58" s="7"/>
      <c r="G58" s="7"/>
      <c r="H58" s="7"/>
      <c r="I58" s="7"/>
      <c r="J58" s="2"/>
      <c r="M58" s="1"/>
      <c r="P58" s="1"/>
    </row>
    <row r="59" spans="1:16" ht="16.5">
      <c r="A59" s="7"/>
      <c r="B59" s="7"/>
      <c r="C59" s="7"/>
      <c r="D59" s="7"/>
      <c r="E59" s="7"/>
      <c r="F59" s="7"/>
      <c r="G59" s="7"/>
      <c r="H59" s="7"/>
      <c r="I59" s="7"/>
      <c r="J59" s="2"/>
      <c r="M59" s="1"/>
      <c r="P59" s="1"/>
    </row>
    <row r="60" spans="1:16" ht="90.65" customHeight="1">
      <c r="A60" s="7"/>
      <c r="B60" s="105" t="str">
        <f>"◆その他の所持品 "&amp;CHAR(10)&amp;"移動力修正【"&amp;SUM(その他の所持品!C3:C19)&amp;"】"&amp;その他の所持品!K1</f>
        <v>◆その他の所持品 
移動力修正【0】
冒険者ツール(鈎縄10m、楔10個、小槌、火口箱、背負い袋、携帯用食器、水袋、白墨、小刀、松明(6本))
携帯食：21
衣類
治癒の水薬</v>
      </c>
      <c r="C60" s="105"/>
      <c r="D60" s="105"/>
      <c r="E60" s="105"/>
      <c r="F60" s="105"/>
      <c r="G60" s="105"/>
      <c r="H60" s="105"/>
      <c r="I60" s="105"/>
      <c r="J60" s="2"/>
      <c r="M60" s="1"/>
      <c r="P60" s="1"/>
    </row>
    <row r="61" spans="1:16" ht="16.5">
      <c r="A61" s="7"/>
      <c r="B61" s="7"/>
      <c r="C61" s="13"/>
      <c r="D61" s="7"/>
      <c r="E61" s="7"/>
      <c r="F61" s="7"/>
      <c r="G61" s="7"/>
      <c r="H61" s="7"/>
      <c r="I61" s="7"/>
      <c r="J61" s="2"/>
      <c r="M61" s="1"/>
      <c r="P61" s="1"/>
    </row>
    <row r="62" spans="1:16" ht="16.5">
      <c r="C62" s="15"/>
      <c r="D62" s="16"/>
      <c r="E62" s="16"/>
      <c r="F62" s="16"/>
      <c r="G62" s="16"/>
      <c r="H62" s="16"/>
      <c r="M62" s="1"/>
      <c r="P62" s="1"/>
    </row>
    <row r="63" spans="1:16" ht="16.5">
      <c r="C63" s="15"/>
      <c r="D63" s="16"/>
      <c r="E63" s="16"/>
      <c r="F63" s="16"/>
      <c r="G63" s="16"/>
      <c r="H63" s="16"/>
      <c r="M63" s="1"/>
      <c r="P63" s="1"/>
    </row>
    <row r="64" spans="1:16" ht="16.5">
      <c r="C64" s="15"/>
      <c r="D64" s="16"/>
      <c r="E64" s="16"/>
      <c r="F64" s="16"/>
      <c r="G64" s="16"/>
      <c r="H64" s="16"/>
      <c r="M64" s="1"/>
      <c r="P64" s="1"/>
    </row>
    <row r="65" spans="3:16" ht="16.5">
      <c r="C65" s="15"/>
      <c r="D65" s="16"/>
      <c r="E65" s="16"/>
      <c r="F65" s="16"/>
      <c r="G65" s="16"/>
      <c r="H65" s="16"/>
      <c r="M65" s="1"/>
      <c r="P65" s="1"/>
    </row>
    <row r="66" spans="3:16" ht="16.5">
      <c r="M66" s="1"/>
      <c r="P66" s="1"/>
    </row>
    <row r="67" spans="3:16" ht="16.5">
      <c r="C67" s="17"/>
      <c r="M67" s="1"/>
      <c r="P67" s="1"/>
    </row>
    <row r="68" spans="3:16" ht="16.5">
      <c r="C68" s="15"/>
      <c r="M68" s="1"/>
      <c r="P68" s="1"/>
    </row>
    <row r="69" spans="3:16" ht="16.5">
      <c r="M69" s="1"/>
      <c r="P69" s="1"/>
    </row>
    <row r="70" spans="3:16" ht="16.5">
      <c r="C70" s="15"/>
      <c r="D70" s="17"/>
      <c r="M70" s="1"/>
      <c r="P70" s="1"/>
    </row>
    <row r="71" spans="3:16" ht="16.5">
      <c r="M71" s="1"/>
      <c r="P71" s="1"/>
    </row>
    <row r="72" spans="3:16" ht="16.5">
      <c r="D72" s="17"/>
      <c r="M72" s="1"/>
      <c r="P72" s="1"/>
    </row>
    <row r="73" spans="3:16" ht="16.5">
      <c r="D73" s="17"/>
      <c r="M73" s="1"/>
      <c r="P73" s="1"/>
    </row>
    <row r="74" spans="3:16" ht="16.5">
      <c r="D74" s="17"/>
      <c r="M74" s="1"/>
      <c r="P74" s="1"/>
    </row>
    <row r="75" spans="3:16" ht="16.5">
      <c r="D75" s="17"/>
      <c r="M75" s="1"/>
      <c r="P75" s="1"/>
    </row>
    <row r="76" spans="3:16" ht="16.5">
      <c r="D76" s="17"/>
      <c r="M76" s="1"/>
      <c r="P76" s="1"/>
    </row>
    <row r="77" spans="3:16" ht="16.5">
      <c r="C77" s="15"/>
      <c r="D77" s="17"/>
      <c r="M77" s="1"/>
      <c r="P77" s="1"/>
    </row>
    <row r="78" spans="3:16" ht="16.5">
      <c r="D78" s="17"/>
      <c r="M78" s="1"/>
      <c r="P78" s="1"/>
    </row>
    <row r="79" spans="3:16" ht="16.5">
      <c r="D79" s="17"/>
      <c r="M79" s="1"/>
      <c r="P79" s="1"/>
    </row>
    <row r="80" spans="3:16" ht="16.5">
      <c r="C80" s="15"/>
      <c r="D80" s="17"/>
      <c r="M80" s="1"/>
      <c r="P80" s="1"/>
    </row>
    <row r="81" spans="3:16" ht="16.5">
      <c r="D81" s="17"/>
      <c r="M81" s="1"/>
      <c r="P81" s="1"/>
    </row>
    <row r="82" spans="3:16" ht="16.5">
      <c r="C82" s="15"/>
      <c r="D82" s="17"/>
      <c r="M82" s="1"/>
      <c r="P82" s="1"/>
    </row>
    <row r="83" spans="3:16" ht="16.5">
      <c r="D83" s="17"/>
      <c r="M83" s="1"/>
      <c r="P83" s="1"/>
    </row>
    <row r="84" spans="3:16" ht="16.5">
      <c r="M84" s="1"/>
      <c r="P84" s="1"/>
    </row>
    <row r="85" spans="3:16" ht="16.5">
      <c r="M85" s="1"/>
      <c r="P85" s="1"/>
    </row>
    <row r="86" spans="3:16" ht="16.5">
      <c r="M86" s="1"/>
      <c r="P86" s="1"/>
    </row>
    <row r="87" spans="3:16" ht="16.5">
      <c r="M87" s="1"/>
      <c r="P87" s="1"/>
    </row>
    <row r="88" spans="3:16" ht="16.5">
      <c r="M88" s="1"/>
      <c r="P88" s="1"/>
    </row>
    <row r="89" spans="3:16" ht="16.5">
      <c r="M89" s="1"/>
      <c r="P89" s="1"/>
    </row>
    <row r="90" spans="3:16" ht="16.5">
      <c r="M90" s="1"/>
      <c r="P90" s="1"/>
    </row>
    <row r="91" spans="3:16" ht="16.5">
      <c r="M91" s="1"/>
      <c r="P91" s="1"/>
    </row>
    <row r="92" spans="3:16" ht="16.5">
      <c r="M92" s="1"/>
      <c r="P92" s="1"/>
    </row>
    <row r="93" spans="3:16" ht="16.5">
      <c r="M93" s="1"/>
      <c r="P93" s="1"/>
    </row>
    <row r="94" spans="3:16" ht="16.5">
      <c r="M94" s="1"/>
      <c r="P94" s="1"/>
    </row>
    <row r="95" spans="3:16" ht="16.5">
      <c r="M95" s="1"/>
      <c r="P95" s="1"/>
    </row>
    <row r="96" spans="3:16" ht="16.5">
      <c r="M96" s="1"/>
      <c r="P96" s="1"/>
    </row>
    <row r="97" spans="13:16" ht="16.5">
      <c r="M97" s="1"/>
      <c r="P97" s="1"/>
    </row>
  </sheetData>
  <sheetProtection sheet="1" objects="1" scenarios="1" selectLockedCells="1" selectUnlockedCells="1"/>
  <mergeCells count="10">
    <mergeCell ref="B49:I49"/>
    <mergeCell ref="B50:I50"/>
    <mergeCell ref="B55:I55"/>
    <mergeCell ref="B60:I60"/>
    <mergeCell ref="B7:I7"/>
    <mergeCell ref="B31:I31"/>
    <mergeCell ref="B33:I33"/>
    <mergeCell ref="B43:I43"/>
    <mergeCell ref="B9:I9"/>
    <mergeCell ref="B42:I42"/>
  </mergeCells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F17"/>
  <sheetViews>
    <sheetView zoomScale="85" zoomScaleNormal="85" workbookViewId="0">
      <selection activeCell="V3" sqref="V3"/>
    </sheetView>
  </sheetViews>
  <sheetFormatPr defaultRowHeight="13"/>
  <cols>
    <col min="2" max="2" width="11.36328125" bestFit="1" customWidth="1"/>
    <col min="3" max="3" width="12" bestFit="1" customWidth="1"/>
    <col min="4" max="4" width="12" customWidth="1"/>
    <col min="5" max="5" width="13.08984375" bestFit="1" customWidth="1"/>
    <col min="6" max="6" width="9.08984375" bestFit="1" customWidth="1"/>
    <col min="7" max="7" width="12.453125" bestFit="1" customWidth="1"/>
    <col min="8" max="8" width="9.08984375" bestFit="1" customWidth="1"/>
    <col min="9" max="9" width="11.26953125" bestFit="1" customWidth="1"/>
    <col min="10" max="10" width="9.26953125" bestFit="1" customWidth="1"/>
    <col min="11" max="11" width="8.453125" bestFit="1" customWidth="1"/>
    <col min="12" max="12" width="9.26953125" bestFit="1" customWidth="1"/>
    <col min="13" max="13" width="6.08984375" bestFit="1" customWidth="1"/>
    <col min="14" max="14" width="44.08984375" bestFit="1" customWidth="1"/>
    <col min="15" max="15" width="9.6328125" bestFit="1" customWidth="1"/>
    <col min="16" max="16" width="5.26953125" bestFit="1" customWidth="1"/>
    <col min="17" max="17" width="8.7265625" bestFit="1" customWidth="1"/>
    <col min="22" max="22" width="62" customWidth="1"/>
    <col min="23" max="23" width="90.26953125" customWidth="1"/>
    <col min="33" max="33" width="28.36328125" customWidth="1"/>
  </cols>
  <sheetData>
    <row r="1" spans="1:58" ht="13" customHeight="1">
      <c r="A1" t="s">
        <v>376</v>
      </c>
      <c r="V1" s="6" t="str">
        <f>V3&amp;V4&amp;V5&amp;V6&amp;V7&amp;V8</f>
        <v xml:space="preserve">
◎武器：【小剣】
用途／属性：【武器：片手剣軽片手／斬刺殴 】　　命中値合計：【6】
ダメージ：1d6+3
クラス：戦士3
効果：投擲適用、受け流し(+0)、強打・斬(+0)、刺突(+1)</v>
      </c>
      <c r="W1" s="6" t="str">
        <f>W3&amp;W4&amp;W5</f>
        <v xml:space="preserve">
小剣　　　　　　片剣　　　　　8    -2    6  1d6     3   ----- 1d6+3 近接</v>
      </c>
      <c r="AF1" s="6" t="str">
        <f>AF3&amp;AF4&amp;AF5</f>
        <v xml:space="preserve">
片手/
斬刺殴</v>
      </c>
      <c r="AG1" s="6" t="str">
        <f>AG3&amp;AG4&amp;AG5</f>
        <v xml:space="preserve">
投擲適用、受け流し(+0)、強打・斬(+0)、刺突(+1)</v>
      </c>
      <c r="AV1">
        <f>MAX(AV3:AV8)</f>
        <v>-1</v>
      </c>
      <c r="AW1">
        <f>MAX(AW3:AW8)</f>
        <v>-1</v>
      </c>
      <c r="AX1">
        <f>SUM(AX3:AX8)</f>
        <v>0</v>
      </c>
      <c r="AY1">
        <f>SUM(AY3:AY8)</f>
        <v>0</v>
      </c>
      <c r="AZ1">
        <f>MAX(AZ3:AZ8)</f>
        <v>0</v>
      </c>
      <c r="BA1">
        <f>MAX(BA3:BA8)</f>
        <v>0</v>
      </c>
      <c r="BB1">
        <f>MAX(BB3:BB8)</f>
        <v>-1</v>
      </c>
      <c r="BC1">
        <f>MAX(BC3:BC8)</f>
        <v>-1</v>
      </c>
    </row>
    <row r="2" spans="1:58">
      <c r="B2" t="s">
        <v>377</v>
      </c>
      <c r="C2" t="s">
        <v>378</v>
      </c>
      <c r="D2" t="s">
        <v>379</v>
      </c>
      <c r="F2" t="s">
        <v>380</v>
      </c>
      <c r="G2" t="s">
        <v>381</v>
      </c>
      <c r="H2" t="s">
        <v>382</v>
      </c>
      <c r="I2" t="s">
        <v>383</v>
      </c>
      <c r="J2" t="s">
        <v>384</v>
      </c>
      <c r="K2" t="s">
        <v>385</v>
      </c>
      <c r="L2" t="s">
        <v>386</v>
      </c>
      <c r="M2" t="s">
        <v>387</v>
      </c>
      <c r="N2" t="s">
        <v>388</v>
      </c>
      <c r="O2" t="s">
        <v>2168</v>
      </c>
      <c r="P2" t="s">
        <v>389</v>
      </c>
      <c r="Q2" t="s">
        <v>390</v>
      </c>
      <c r="R2" t="s">
        <v>391</v>
      </c>
      <c r="S2" t="s">
        <v>392</v>
      </c>
      <c r="T2" t="s">
        <v>393</v>
      </c>
      <c r="X2" t="s">
        <v>394</v>
      </c>
      <c r="Y2" t="s">
        <v>395</v>
      </c>
      <c r="Z2" t="s">
        <v>396</v>
      </c>
      <c r="AA2" t="s">
        <v>397</v>
      </c>
      <c r="AB2" t="s">
        <v>398</v>
      </c>
      <c r="AC2" t="s">
        <v>399</v>
      </c>
      <c r="AD2" t="s">
        <v>400</v>
      </c>
      <c r="AH2" t="s">
        <v>401</v>
      </c>
      <c r="AI2" t="s">
        <v>402</v>
      </c>
      <c r="AJ2" t="s">
        <v>403</v>
      </c>
      <c r="AK2" t="s">
        <v>404</v>
      </c>
      <c r="AL2" t="s">
        <v>405</v>
      </c>
      <c r="AM2" t="s">
        <v>406</v>
      </c>
      <c r="AN2" t="s">
        <v>407</v>
      </c>
      <c r="AO2" t="s">
        <v>408</v>
      </c>
      <c r="AP2" t="s">
        <v>205</v>
      </c>
      <c r="AQ2" t="s">
        <v>409</v>
      </c>
      <c r="AR2" t="s">
        <v>410</v>
      </c>
      <c r="AS2" t="s">
        <v>411</v>
      </c>
      <c r="AT2" t="s">
        <v>412</v>
      </c>
      <c r="AU2" t="s">
        <v>413</v>
      </c>
      <c r="AV2" t="s">
        <v>414</v>
      </c>
      <c r="AW2" t="s">
        <v>415</v>
      </c>
      <c r="AX2" t="s">
        <v>416</v>
      </c>
      <c r="AY2" t="s">
        <v>417</v>
      </c>
      <c r="AZ2" t="s">
        <v>418</v>
      </c>
      <c r="BA2" t="s">
        <v>419</v>
      </c>
      <c r="BB2" t="s">
        <v>420</v>
      </c>
      <c r="BC2" t="s">
        <v>421</v>
      </c>
      <c r="BD2" t="s">
        <v>2074</v>
      </c>
      <c r="BE2" t="s">
        <v>2075</v>
      </c>
      <c r="BF2" t="s">
        <v>2076</v>
      </c>
    </row>
    <row r="3" spans="1:58" ht="97.5" customHeight="1">
      <c r="B3" t="str">
        <f>作成シート!C78</f>
        <v>戦士</v>
      </c>
      <c r="C3">
        <f>IF(B3="なし",0,VLOOKUP(B3,冒険者職業レベル!$C$3:$E$6,3,FALSE))</f>
        <v>3</v>
      </c>
      <c r="D3">
        <f>IF(G3="-",0,VLOOKUP(G3,冒険者技能!$C$37:$K$45,9,FALSE))</f>
        <v>0</v>
      </c>
      <c r="F3" t="str">
        <f>作成シート!C77</f>
        <v>小剣</v>
      </c>
      <c r="G3" t="str">
        <f>VLOOKUP(F3,武器表!$B$2:$K$978,2,FALSE)</f>
        <v>武器：片手剣</v>
      </c>
      <c r="H3" t="str">
        <f>VLOOKUP(F3,武器表!$B$2:$K$978,3,FALSE)</f>
        <v>軽</v>
      </c>
      <c r="I3" t="str">
        <f>VLOOKUP(F3,武器表!$B$2:$K$978,4,FALSE)</f>
        <v>片手</v>
      </c>
      <c r="J3" t="str">
        <f>VLOOKUP(F3,武器表!$B$2:$K$978,5,FALSE)</f>
        <v>斬刺殴</v>
      </c>
      <c r="K3" t="str">
        <f>VLOOKUP(F3,武器表!$B$2:$K$978,6,FALSE)</f>
        <v>1d6</v>
      </c>
      <c r="L3">
        <f>VLOOKUP(F3,武器表!$B$2:$K$978,7,FALSE)</f>
        <v>-2</v>
      </c>
      <c r="M3" t="str">
        <f>VLOOKUP(F3,武器表!$B$2:$K$978,8,FALSE)</f>
        <v>近接</v>
      </c>
      <c r="N3" t="str">
        <f>VLOOKUP(F3,武器表!$B$2:$K$978,9,FALSE)</f>
        <v>投擲適用、受け流し(+0)、強打・斬(+0)、刺突(+1)</v>
      </c>
      <c r="O3" t="str">
        <f>作成シート!C79</f>
        <v>購入</v>
      </c>
      <c r="P3">
        <f>IF(O3="購入",VLOOKUP(F3,武器表!$B$2:$K$978,10,FALSE),0)</f>
        <v>20</v>
      </c>
      <c r="Q3">
        <f>VLOOKUP(F3,武器表!$B$2:$L$978,11,FALSE)</f>
        <v>0</v>
      </c>
      <c r="R3">
        <f>VLOOKUP($F3,武器表!$B$2:$Q$978,12,FALSE)</f>
        <v>0</v>
      </c>
      <c r="S3">
        <f>VLOOKUP($F3,武器表!$B$2:$Q$978,13,FALSE)</f>
        <v>-1</v>
      </c>
      <c r="T3">
        <f>VLOOKUP($F3,武器表!$B$2:$Q$978,14,FALSE)</f>
        <v>1</v>
      </c>
      <c r="V3" s="6" t="str">
        <f>IF(F3="なし","",CHAR(10)&amp;CHAR(10)&amp;"◎武器：【"&amp;F3&amp;"】"&amp;CHAR(10)&amp;"用途／属性：【"&amp;G3&amp;H3&amp;I3&amp;"／"&amp;J3&amp;" 】　　命中値合計：【"&amp;能力値!$L$10+C3+D3+L3&amp;"】"&amp;CHAR(10)&amp;"ダメージ："&amp;X3&amp;"+"&amp;C3+Y3+BD3&amp;IF(BE3="","","+"&amp;BE3)&amp;CHAR(10)&amp;"クラス："&amp;B3&amp;C3&amp;CHAR(10)&amp;"効果："&amp;N3&amp;IF(N3="","",IF(AC3&gt;0,"、",""))&amp;IF(AC3&gt;0,"追加効果値："&amp;AC3,""))</f>
        <v xml:space="preserve">
◎武器：【小剣】
用途／属性：【武器：片手剣軽片手／斬刺殴 】　　命中値合計：【6】
ダメージ：1d6+3
クラス：戦士3
効果：投擲適用、受け流し(+0)、強打・斬(+0)、刺突(+1)</v>
      </c>
      <c r="W3" s="21" t="str">
        <f>IF(F3="なし","",CHAR(10)&amp;AH3&amp;REPT("　",8-LEN(AH3))&amp;AE3&amp;REPT("　",7-LEN(AE3))&amp;C3+D3+能力値!$L$10&amp;"    "&amp;L3&amp;REPT(" ",6-LEN(L3))&amp;C3+D3+能力値!$L$10+L3&amp;"  "&amp;K3&amp;REPT(" ",8-LEN(K3))&amp;C3&amp;"   "&amp;IF(BF3="","-----",BF3)&amp;" "&amp;X3&amp;"+"&amp;C3+Y3+BD3&amp;IF(BE3="","","+"&amp;BE3)&amp;" "&amp;M3)</f>
        <v xml:space="preserve">
小剣　　　　　　片剣　　　　　8    -2    6  1d6     3   ----- 1d6+3 近接</v>
      </c>
      <c r="X3" t="str">
        <f>VLOOKUP(F3,武器表!$B$2:$Q$978,15,FALSE)</f>
        <v>1d6</v>
      </c>
      <c r="Y3">
        <f>VLOOKUP(F3,武器表!$B$2:$Q$978,16,FALSE)</f>
        <v>0</v>
      </c>
      <c r="Z3">
        <f>IF(R3&gt;-1,IF(冒険者技能!$U$19&gt;-1,R3+冒険者技能!$U$19,-1),-1)</f>
        <v>-1</v>
      </c>
      <c r="AA3">
        <f>IF(S3&gt;-1,IF(冒険者技能!$U$20&gt;-1,冒険者技能!$U$20+S3,-1),-1)</f>
        <v>-1</v>
      </c>
      <c r="AB3">
        <f>IF(T3&gt;-1,IF(冒険者技能!$U$26&gt;-1,冒険者技能!$U$26*T3,-1),-1)</f>
        <v>-1</v>
      </c>
      <c r="AC3">
        <f>MAX(Z3:AB3)</f>
        <v>-1</v>
      </c>
      <c r="AD3" t="str">
        <f t="shared" ref="AD3" si="0">IF(AC3&lt;0,"",IF(Z3=AC3,"斬",IF(AC3=AA3,"殴","刺")))</f>
        <v/>
      </c>
      <c r="AE3" t="str">
        <f t="shared" ref="AE3" si="1">SUBSTITUTE(SUBSTITUTE(SUBSTITUTE(G3,"武器：",""),"手",""),"武器","")</f>
        <v>片剣</v>
      </c>
      <c r="AF3" s="6" t="str">
        <f>IF(F3="なし","",CHAR(10)&amp;I3&amp;"/"&amp;CHAR(10)&amp;J3)</f>
        <v xml:space="preserve">
片手/
斬刺殴</v>
      </c>
      <c r="AG3" s="6" t="str">
        <f t="shared" ref="AG3:AG8" si="2">IF(F3="なし","",CHAR(10)&amp;LEFT(N3,32)&amp;IF(N3="","",IF(AC3&gt;0,"、",""))&amp;IF(AC3&gt;0,"追加効果値："&amp;AC3,""))</f>
        <v xml:space="preserve">
投擲適用、受け流し(+0)、強打・斬(+0)、刺突(+1)</v>
      </c>
      <c r="AH3" t="str">
        <f>LEFT(F3,6)</f>
        <v>小剣</v>
      </c>
      <c r="AV3">
        <f>VLOOKUP($F3,武器表!$B$2:$W$978,17,FALSE)</f>
        <v>-1</v>
      </c>
      <c r="AW3">
        <f>VLOOKUP($F3,武器表!$B$2:$W$978,18,FALSE)</f>
        <v>-1</v>
      </c>
      <c r="AX3">
        <f>VLOOKUP($F3,武器表!$B$2:$W$978,19,FALSE)</f>
        <v>0</v>
      </c>
      <c r="AY3">
        <f>VLOOKUP($F3,武器表!$B$2:$W$978,20,FALSE)</f>
        <v>0</v>
      </c>
      <c r="AZ3">
        <f>VLOOKUP($F3,武器表!$B$2:$W$978,21,FALSE)</f>
        <v>0</v>
      </c>
      <c r="BA3">
        <f>VLOOKUP($F3,武器表!$B$2:$W$978,22,FALSE)</f>
        <v>0</v>
      </c>
      <c r="BB3">
        <f>VLOOKUP($F3,武器表!$B$2:$Y$978,23,FALSE)</f>
        <v>-1</v>
      </c>
      <c r="BC3">
        <f>VLOOKUP($F3,武器表!$B$2:$Y$978,24,FALSE)</f>
        <v>-1</v>
      </c>
      <c r="BD3">
        <f>IF(COUNTIF(F3,"*素手攻撃*")&gt;0,IF(冒険者技能!$K$32&gt;0,冒険者技能!$U$32,0),0)</f>
        <v>0</v>
      </c>
      <c r="BE3" t="str">
        <f>IF(G3="武器：格闘武器",IF(冒険者技能!$K$36&gt;0,冒険者技能!$U$36,""),"")</f>
        <v/>
      </c>
      <c r="BF3" t="str">
        <f>IF(BD3&gt;0,"+"&amp;BD3,"")&amp;IF(BE3="","","+"&amp;BE3)</f>
        <v/>
      </c>
    </row>
    <row r="4" spans="1:58" ht="92.15" customHeight="1">
      <c r="B4" t="str">
        <f>作成シート!C81</f>
        <v>なし</v>
      </c>
      <c r="C4">
        <f>IF(B4="なし",0,VLOOKUP(B4,冒険者職業レベル!$C$3:$E$6,3,FALSE))</f>
        <v>0</v>
      </c>
      <c r="D4">
        <f>IF(G4="-",0,VLOOKUP(G4,冒険者技能!$C$37:$K$45,9,FALSE))</f>
        <v>0</v>
      </c>
      <c r="F4" t="str">
        <f>作成シート!C80</f>
        <v>なし</v>
      </c>
      <c r="G4" t="str">
        <f>VLOOKUP(F4,武器表!$B$2:$K$978,2,FALSE)</f>
        <v>-</v>
      </c>
      <c r="H4" t="str">
        <f>VLOOKUP(F4,武器表!$B$2:$K$978,3,FALSE)</f>
        <v>-</v>
      </c>
      <c r="I4" t="str">
        <f>VLOOKUP(F4,武器表!$B$2:$K$978,4,FALSE)</f>
        <v>-</v>
      </c>
      <c r="J4" t="str">
        <f>VLOOKUP(F4,武器表!$B$2:$K$978,5,FALSE)</f>
        <v>-</v>
      </c>
      <c r="K4" t="str">
        <f>VLOOKUP(F4,武器表!$B$2:$K$978,6,FALSE)</f>
        <v>-</v>
      </c>
      <c r="L4" t="str">
        <f>VLOOKUP(F4,武器表!$B$2:$K$978,7,FALSE)</f>
        <v>-</v>
      </c>
      <c r="M4" t="str">
        <f>VLOOKUP(F4,武器表!$B$2:$K$978,8,FALSE)</f>
        <v>-</v>
      </c>
      <c r="N4" t="str">
        <f>VLOOKUP(F4,武器表!$B$2:$K$978,9,FALSE)</f>
        <v>-</v>
      </c>
      <c r="O4" t="str">
        <f>作成シート!C82</f>
        <v>購入</v>
      </c>
      <c r="P4">
        <f>IF(O4="購入",VLOOKUP(F4,武器表!$B$2:$K$978,10,FALSE),0)</f>
        <v>0</v>
      </c>
      <c r="Q4">
        <f>VLOOKUP(F4,武器表!$B$2:$L$978,11,FALSE)</f>
        <v>-1</v>
      </c>
      <c r="R4">
        <f>VLOOKUP($F4,武器表!$B$2:$Q$978,12,FALSE)</f>
        <v>-1</v>
      </c>
      <c r="S4">
        <f>VLOOKUP($F4,武器表!$B$2:$Q$978,13,FALSE)</f>
        <v>-1</v>
      </c>
      <c r="T4">
        <f>VLOOKUP($F4,武器表!$B$2:$Q$978,14,FALSE)</f>
        <v>-1</v>
      </c>
      <c r="V4" s="6" t="str">
        <f>IF(F4="なし","",CHAR(10)&amp;CHAR(10)&amp;"◎武器：【"&amp;F4&amp;"】"&amp;CHAR(10)&amp;"用途／属性：【"&amp;G4&amp;H4&amp;I4&amp;"／"&amp;J4&amp;" 】　　命中値合計：【"&amp;能力値!$L$10+C4+D4+L4&amp;"】"&amp;CHAR(10)&amp;"ダメージ："&amp;X4&amp;"+"&amp;C4+Y4+BD4&amp;IF(BE4="","","+"&amp;BE4)&amp;CHAR(10)&amp;"クラス："&amp;B4&amp;C4&amp;CHAR(10)&amp;"効果："&amp;N4&amp;IF(N4="","",IF(AC4&gt;0,"、",""))&amp;IF(AC4&gt;0,"追加効果値："&amp;AC4,""))</f>
        <v/>
      </c>
      <c r="W4" s="21" t="str">
        <f>IF(F4="なし","",CHAR(10)&amp;AH4&amp;REPT("　",8-LEN(AH4))&amp;AE4&amp;REPT("　",7-LEN(AE4))&amp;C4+D4+能力値!$L$10&amp;"    "&amp;L4&amp;REPT(" ",6-LEN(L4))&amp;C4+D4+能力値!$L$10+L4&amp;"  "&amp;K4&amp;REPT(" ",8-LEN(K4))&amp;C4&amp;"   "&amp;IF(BF4="","-----",BF4)&amp;" "&amp;X4&amp;"+"&amp;C4+Y4+BD4&amp;IF(BE4="","","+"&amp;BE4)&amp;" "&amp;M4)</f>
        <v/>
      </c>
      <c r="X4" t="str">
        <f>VLOOKUP(F4,武器表!$B$2:$Q$978,15,FALSE)</f>
        <v>-</v>
      </c>
      <c r="Y4">
        <f>VLOOKUP(F4,武器表!$B$2:$Q$978,16,FALSE)</f>
        <v>0</v>
      </c>
      <c r="Z4">
        <f>IF(R4&gt;-1,IF(冒険者技能!$U$19&gt;-1,R4+冒険者技能!$U$19,-1),-1)</f>
        <v>-1</v>
      </c>
      <c r="AA4">
        <f>IF(S4&gt;-1,IF(冒険者技能!$U$20&gt;-1,冒険者技能!$U$20+S4,-1),-1)</f>
        <v>-1</v>
      </c>
      <c r="AB4">
        <f>IF(T4&gt;-1,IF(冒険者技能!$U$26&gt;-1,冒険者技能!$U$26*T4,-1),-1)</f>
        <v>-1</v>
      </c>
      <c r="AC4">
        <f t="shared" ref="AC4:AC8" si="3">MAX(Z4:AB4)</f>
        <v>-1</v>
      </c>
      <c r="AD4" t="str">
        <f t="shared" ref="AD4:AD8" si="4">IF(AC4&lt;0,"",IF(Z4=AC4,"斬",IF(AC4=AA4,"殴","刺")))</f>
        <v/>
      </c>
      <c r="AE4" t="str">
        <f t="shared" ref="AE4:AE8" si="5">SUBSTITUTE(SUBSTITUTE(SUBSTITUTE(G4,"武器：",""),"手",""),"武器","")</f>
        <v>-</v>
      </c>
      <c r="AF4" s="6" t="str">
        <f t="shared" ref="AF4:AF8" si="6">IF(F4="なし","",CHAR(10)&amp;I4&amp;"/"&amp;CHAR(10)&amp;J4)</f>
        <v/>
      </c>
      <c r="AG4" s="6" t="str">
        <f t="shared" si="2"/>
        <v/>
      </c>
      <c r="AH4" t="str">
        <f>LEFT(F4,6)</f>
        <v>なし</v>
      </c>
      <c r="AV4">
        <f>VLOOKUP($F4,武器表!$B$2:$W$978,17,FALSE)</f>
        <v>-1</v>
      </c>
      <c r="AW4">
        <f>VLOOKUP($F4,武器表!$B$2:$W$978,18,FALSE)</f>
        <v>-1</v>
      </c>
      <c r="AX4">
        <f>VLOOKUP($F4,武器表!$B$2:$W$978,19,FALSE)</f>
        <v>0</v>
      </c>
      <c r="AY4">
        <f>VLOOKUP($F4,武器表!$B$2:$W$978,20,FALSE)</f>
        <v>0</v>
      </c>
      <c r="AZ4">
        <f>VLOOKUP($F4,武器表!$B$2:$W$978,21,FALSE)</f>
        <v>0</v>
      </c>
      <c r="BA4">
        <f>VLOOKUP($F4,武器表!$B$2:$W$978,22,FALSE)</f>
        <v>0</v>
      </c>
      <c r="BB4">
        <f>VLOOKUP($F4,武器表!$B$2:$Y$978,23,FALSE)</f>
        <v>-1</v>
      </c>
      <c r="BC4">
        <f>VLOOKUP($F4,武器表!$B$2:$Y$978,24,FALSE)</f>
        <v>-1</v>
      </c>
      <c r="BD4">
        <f>IF(COUNTIF(F4,"*素手攻撃*")&gt;0,IF(冒険者技能!$K$32&gt;0,冒険者技能!$U$32,0),0)</f>
        <v>0</v>
      </c>
      <c r="BE4" t="str">
        <f>IF(G4="武器：格闘武器",IF(冒険者技能!$K$36&gt;0,冒険者技能!$U$36,""),"")</f>
        <v/>
      </c>
      <c r="BF4" t="str">
        <f t="shared" ref="BF4:BF8" si="7">IF(BD4&gt;0,"+"&amp;BD4,"")&amp;IF(BE4="","","+"&amp;BE4)</f>
        <v/>
      </c>
    </row>
    <row r="5" spans="1:58" ht="61" customHeight="1">
      <c r="B5" t="str">
        <f>作成シート!C84</f>
        <v>なし</v>
      </c>
      <c r="C5">
        <f>IF(B5="なし",0,VLOOKUP(B5,冒険者職業レベル!$C$3:$E$6,3,FALSE))</f>
        <v>0</v>
      </c>
      <c r="D5">
        <f>IF(G5="-",0,VLOOKUP(G5,冒険者技能!$C$37:$K$45,9,FALSE))</f>
        <v>0</v>
      </c>
      <c r="F5" t="str">
        <f>作成シート!C83</f>
        <v>なし</v>
      </c>
      <c r="G5" t="str">
        <f>VLOOKUP(F5,武器表!$B$2:$K$978,2,FALSE)</f>
        <v>-</v>
      </c>
      <c r="H5" t="str">
        <f>VLOOKUP(F5,武器表!$B$2:$K$978,3,FALSE)</f>
        <v>-</v>
      </c>
      <c r="I5" t="str">
        <f>VLOOKUP(F5,武器表!$B$2:$K$978,4,FALSE)</f>
        <v>-</v>
      </c>
      <c r="J5" t="str">
        <f>VLOOKUP(F5,武器表!$B$2:$K$978,5,FALSE)</f>
        <v>-</v>
      </c>
      <c r="K5" t="str">
        <f>VLOOKUP(F5,武器表!$B$2:$K$978,6,FALSE)</f>
        <v>-</v>
      </c>
      <c r="L5" t="str">
        <f>VLOOKUP(F5,武器表!$B$2:$K$978,7,FALSE)</f>
        <v>-</v>
      </c>
      <c r="M5" t="str">
        <f>VLOOKUP(F5,武器表!$B$2:$K$978,8,FALSE)</f>
        <v>-</v>
      </c>
      <c r="N5" t="str">
        <f>VLOOKUP(F5,武器表!$B$2:$K$978,9,FALSE)</f>
        <v>-</v>
      </c>
      <c r="O5" t="str">
        <f>作成シート!C85</f>
        <v>購入</v>
      </c>
      <c r="P5">
        <f>IF(O5="購入",VLOOKUP(F5,武器表!$B$2:$K$978,10,FALSE),0)</f>
        <v>0</v>
      </c>
      <c r="Q5">
        <f>VLOOKUP(F5,武器表!$B$2:$L$978,11,FALSE)</f>
        <v>-1</v>
      </c>
      <c r="R5">
        <f>VLOOKUP($F5,武器表!$B$2:$Q$978,12,FALSE)</f>
        <v>-1</v>
      </c>
      <c r="S5">
        <f>VLOOKUP($F5,武器表!$B$2:$Q$978,13,FALSE)</f>
        <v>-1</v>
      </c>
      <c r="T5">
        <f>VLOOKUP($F5,武器表!$B$2:$Q$978,14,FALSE)</f>
        <v>-1</v>
      </c>
      <c r="V5" s="6" t="str">
        <f>IF(F5="なし","",CHAR(10)&amp;CHAR(10)&amp;"◎武器：【"&amp;F5&amp;"】"&amp;CHAR(10)&amp;"用途／属性：【"&amp;G5&amp;H5&amp;I5&amp;"／"&amp;J5&amp;" 】　　命中値合計：【"&amp;能力値!$L$10+C5+D5+L5&amp;"】"&amp;CHAR(10)&amp;"ダメージ："&amp;X5&amp;"+"&amp;C5+Y5+BD5&amp;IF(BE5="","","+"&amp;BE5)&amp;CHAR(10)&amp;"クラス："&amp;B5&amp;C5&amp;CHAR(10)&amp;"効果："&amp;N5&amp;IF(N5="","",IF(AC5&gt;0,"、",""))&amp;IF(AC5&gt;0,"追加効果値："&amp;AC5,""))</f>
        <v/>
      </c>
      <c r="W5" s="21" t="str">
        <f>IF(F5="なし","",CHAR(10)&amp;AH5&amp;REPT("　",8-LEN(AH5))&amp;AE5&amp;REPT("　",7-LEN(AE5))&amp;C5+D5+能力値!$L$10&amp;"    "&amp;L5&amp;REPT(" ",6-LEN(L5))&amp;C5+D5+能力値!$L$10+L5&amp;"  "&amp;K5&amp;REPT(" ",8-LEN(K5))&amp;C5&amp;"   "&amp;IF(BF5="","-----",BF5)&amp;" "&amp;X5&amp;"+"&amp;C5+Y5+BD5&amp;IF(BE5="","","+"&amp;BE5)&amp;" "&amp;M5)</f>
        <v/>
      </c>
      <c r="X5" t="str">
        <f>VLOOKUP(F5,武器表!$B$2:$Q$978,15,FALSE)</f>
        <v>-</v>
      </c>
      <c r="Y5">
        <f>VLOOKUP(F5,武器表!$B$2:$Q$978,16,FALSE)</f>
        <v>0</v>
      </c>
      <c r="Z5">
        <f>IF(R5&gt;-1,IF(冒険者技能!$U$19&gt;-1,R5+冒険者技能!$U$19,-1),-1)</f>
        <v>-1</v>
      </c>
      <c r="AA5">
        <f>IF(S5&gt;-1,IF(冒険者技能!$U$20&gt;-1,冒険者技能!$U$20+S5,-1),-1)</f>
        <v>-1</v>
      </c>
      <c r="AB5">
        <f>IF(T5&gt;-1,IF(冒険者技能!$U$26&gt;-1,冒険者技能!$U$26*T5,-1),-1)</f>
        <v>-1</v>
      </c>
      <c r="AC5">
        <f t="shared" si="3"/>
        <v>-1</v>
      </c>
      <c r="AD5" t="str">
        <f t="shared" si="4"/>
        <v/>
      </c>
      <c r="AE5" t="str">
        <f t="shared" si="5"/>
        <v>-</v>
      </c>
      <c r="AF5" s="6" t="str">
        <f t="shared" si="6"/>
        <v/>
      </c>
      <c r="AG5" s="6" t="str">
        <f t="shared" si="2"/>
        <v/>
      </c>
      <c r="AH5" t="str">
        <f t="shared" ref="AH5:AH8" si="8">LEFT(F5,6)</f>
        <v>なし</v>
      </c>
      <c r="AV5">
        <f>VLOOKUP($F5,武器表!$B$2:$W$978,17,FALSE)</f>
        <v>-1</v>
      </c>
      <c r="AW5">
        <f>VLOOKUP($F5,武器表!$B$2:$W$978,18,FALSE)</f>
        <v>-1</v>
      </c>
      <c r="AX5">
        <f>VLOOKUP($F5,武器表!$B$2:$W$978,19,FALSE)</f>
        <v>0</v>
      </c>
      <c r="AY5">
        <f>VLOOKUP($F5,武器表!$B$2:$W$978,20,FALSE)</f>
        <v>0</v>
      </c>
      <c r="AZ5">
        <f>VLOOKUP($F5,武器表!$B$2:$W$978,21,FALSE)</f>
        <v>0</v>
      </c>
      <c r="BA5">
        <f>VLOOKUP($F5,武器表!$B$2:$W$978,22,FALSE)</f>
        <v>0</v>
      </c>
      <c r="BB5">
        <f>VLOOKUP($F5,武器表!$B$2:$Y$978,23,FALSE)</f>
        <v>-1</v>
      </c>
      <c r="BC5">
        <f>VLOOKUP($F5,武器表!$B$2:$Y$978,24,FALSE)</f>
        <v>-1</v>
      </c>
      <c r="BD5">
        <f>IF(COUNTIF(F5,"*素手攻撃*")&gt;0,IF(冒険者技能!$K$32&gt;0,冒険者技能!$U$32,0),0)</f>
        <v>0</v>
      </c>
      <c r="BE5" t="str">
        <f>IF(G5="武器：格闘武器",IF(冒険者技能!$K$36&gt;0,冒険者技能!$U$36,""),"")</f>
        <v/>
      </c>
      <c r="BF5" t="str">
        <f t="shared" si="7"/>
        <v/>
      </c>
    </row>
    <row r="6" spans="1:58">
      <c r="B6" t="str">
        <f>作成シート!C87</f>
        <v>なし</v>
      </c>
      <c r="C6">
        <f>IF(B6="なし",0,VLOOKUP(B6,冒険者職業レベル!$C$3:$E$6,3,FALSE))</f>
        <v>0</v>
      </c>
      <c r="D6">
        <f>IF(G6="-",0,VLOOKUP(G6,冒険者技能!$C$37:$K$45,9,FALSE))</f>
        <v>0</v>
      </c>
      <c r="F6" t="str">
        <f>作成シート!C86</f>
        <v>なし</v>
      </c>
      <c r="G6" t="str">
        <f>VLOOKUP(F6,武器表!$B$2:$K$978,2,FALSE)</f>
        <v>-</v>
      </c>
      <c r="H6" t="str">
        <f>VLOOKUP(F6,武器表!$B$2:$K$978,3,FALSE)</f>
        <v>-</v>
      </c>
      <c r="I6" t="str">
        <f>VLOOKUP(F6,武器表!$B$2:$K$978,4,FALSE)</f>
        <v>-</v>
      </c>
      <c r="J6" t="str">
        <f>VLOOKUP(F6,武器表!$B$2:$K$978,5,FALSE)</f>
        <v>-</v>
      </c>
      <c r="K6" t="str">
        <f>VLOOKUP(F6,武器表!$B$2:$K$978,6,FALSE)</f>
        <v>-</v>
      </c>
      <c r="L6" t="str">
        <f>VLOOKUP(F6,武器表!$B$2:$K$978,7,FALSE)</f>
        <v>-</v>
      </c>
      <c r="M6" t="str">
        <f>VLOOKUP(F6,武器表!$B$2:$K$978,8,FALSE)</f>
        <v>-</v>
      </c>
      <c r="N6" t="str">
        <f>VLOOKUP(F6,武器表!$B$2:$K$978,9,FALSE)</f>
        <v>-</v>
      </c>
      <c r="O6" t="str">
        <f>作成シート!C88</f>
        <v>購入</v>
      </c>
      <c r="P6">
        <f>IF(O6="購入",VLOOKUP(F6,武器表!$B$2:$K$978,10,FALSE),0)</f>
        <v>0</v>
      </c>
      <c r="Q6">
        <f>VLOOKUP(F6,武器表!$B$2:$L$978,11,FALSE)</f>
        <v>-1</v>
      </c>
      <c r="R6">
        <f>VLOOKUP($F6,武器表!$B$2:$Q$978,12,FALSE)</f>
        <v>-1</v>
      </c>
      <c r="S6">
        <f>VLOOKUP($F6,武器表!$B$2:$Q$978,13,FALSE)</f>
        <v>-1</v>
      </c>
      <c r="T6">
        <f>VLOOKUP($F6,武器表!$B$2:$Q$978,14,FALSE)</f>
        <v>-1</v>
      </c>
      <c r="V6" s="6" t="str">
        <f>IF(F6="なし","",CHAR(10)&amp;CHAR(10)&amp;"◎武器：【"&amp;F6&amp;"】"&amp;CHAR(10)&amp;"用途／属性：【"&amp;G6&amp;H6&amp;I6&amp;"／"&amp;J6&amp;" 】　　命中値合計：【"&amp;能力値!$L$10+C6+D6+L6&amp;"】"&amp;CHAR(10)&amp;"ダメージ："&amp;X6&amp;"+"&amp;C6+Y6+BD6&amp;IF(BE6="","","+"&amp;BE6)&amp;CHAR(10)&amp;"クラス："&amp;B6&amp;C6&amp;CHAR(10)&amp;"効果："&amp;N6&amp;IF(N6="","",IF(AC6&gt;0,"、",""))&amp;IF(AC6&gt;0,"追加効果値："&amp;AC6,""))</f>
        <v/>
      </c>
      <c r="W6" s="21" t="str">
        <f>IF(F6="なし","",CHAR(10)&amp;AH6&amp;REPT("　",8-LEN(AH6))&amp;AE6&amp;REPT("　",7-LEN(AE6))&amp;C6+D6+能力値!$L$10&amp;"    "&amp;L6&amp;REPT(" ",6-LEN(L6))&amp;C6+D6+能力値!$L$10+L6&amp;"  "&amp;K6&amp;REPT(" ",8-LEN(K6))&amp;C6&amp;"   "&amp;IF(BF6="","-----",BF6)&amp;" "&amp;X6&amp;"+"&amp;C6+Y6+BD6&amp;IF(BE6="","","+"&amp;BE6)&amp;" "&amp;M6)</f>
        <v/>
      </c>
      <c r="X6" t="str">
        <f>VLOOKUP(F6,武器表!$B$2:$Q$978,15,FALSE)</f>
        <v>-</v>
      </c>
      <c r="Y6">
        <f>VLOOKUP(F6,武器表!$B$2:$Q$978,16,FALSE)</f>
        <v>0</v>
      </c>
      <c r="Z6">
        <f>IF(R6&gt;-1,IF(冒険者技能!$U$19&gt;-1,R6+冒険者技能!$U$19,-1),-1)</f>
        <v>-1</v>
      </c>
      <c r="AA6">
        <f>IF(S6&gt;-1,IF(冒険者技能!$U$20&gt;-1,冒険者技能!$U$20+S6,-1),-1)</f>
        <v>-1</v>
      </c>
      <c r="AB6">
        <f>IF(T6&gt;-1,IF(冒険者技能!$U$26&gt;-1,冒険者技能!$U$26*T6,-1),-1)</f>
        <v>-1</v>
      </c>
      <c r="AC6">
        <f t="shared" si="3"/>
        <v>-1</v>
      </c>
      <c r="AD6" t="str">
        <f t="shared" si="4"/>
        <v/>
      </c>
      <c r="AE6" t="str">
        <f t="shared" si="5"/>
        <v>-</v>
      </c>
      <c r="AF6" s="6" t="str">
        <f t="shared" si="6"/>
        <v/>
      </c>
      <c r="AG6" s="6" t="str">
        <f t="shared" si="2"/>
        <v/>
      </c>
      <c r="AH6" t="str">
        <f t="shared" si="8"/>
        <v>なし</v>
      </c>
      <c r="AV6">
        <f>VLOOKUP($F6,武器表!$B$2:$W$978,17,FALSE)</f>
        <v>-1</v>
      </c>
      <c r="AW6">
        <f>VLOOKUP($F6,武器表!$B$2:$W$978,18,FALSE)</f>
        <v>-1</v>
      </c>
      <c r="AX6">
        <f>VLOOKUP($F6,武器表!$B$2:$W$978,19,FALSE)</f>
        <v>0</v>
      </c>
      <c r="AY6">
        <f>VLOOKUP($F6,武器表!$B$2:$W$978,20,FALSE)</f>
        <v>0</v>
      </c>
      <c r="AZ6">
        <f>VLOOKUP($F6,武器表!$B$2:$W$978,21,FALSE)</f>
        <v>0</v>
      </c>
      <c r="BA6">
        <f>VLOOKUP($F6,武器表!$B$2:$W$978,22,FALSE)</f>
        <v>0</v>
      </c>
      <c r="BB6">
        <f>VLOOKUP($F6,武器表!$B$2:$Y$978,23,FALSE)</f>
        <v>-1</v>
      </c>
      <c r="BC6">
        <f>VLOOKUP($F6,武器表!$B$2:$Y$978,24,FALSE)</f>
        <v>-1</v>
      </c>
      <c r="BD6">
        <f>IF(COUNTIF(F6,"*素手攻撃*")&gt;0,IF(冒険者技能!$K$32&gt;0,冒険者技能!$U$32,0),0)</f>
        <v>0</v>
      </c>
      <c r="BE6" t="str">
        <f>IF(G6="武器：格闘武器",IF(冒険者技能!$K$36&gt;0,冒険者技能!$U$36,""),"")</f>
        <v/>
      </c>
      <c r="BF6" t="str">
        <f t="shared" si="7"/>
        <v/>
      </c>
    </row>
    <row r="7" spans="1:58">
      <c r="B7" t="str">
        <f>作成シート!C90</f>
        <v>なし</v>
      </c>
      <c r="C7">
        <f>IF(B7="なし",0,VLOOKUP(B7,冒険者職業レベル!$C$3:$E$6,3,FALSE))</f>
        <v>0</v>
      </c>
      <c r="D7">
        <f>IF(G7="-",0,VLOOKUP(G7,冒険者技能!$C$37:$K$45,9,FALSE))</f>
        <v>0</v>
      </c>
      <c r="F7" t="str">
        <f>作成シート!C89</f>
        <v>なし</v>
      </c>
      <c r="G7" t="str">
        <f>VLOOKUP(F7,武器表!$B$2:$K$978,2,FALSE)</f>
        <v>-</v>
      </c>
      <c r="H7" t="str">
        <f>VLOOKUP(F7,武器表!$B$2:$K$978,3,FALSE)</f>
        <v>-</v>
      </c>
      <c r="I7" t="str">
        <f>VLOOKUP(F7,武器表!$B$2:$K$978,4,FALSE)</f>
        <v>-</v>
      </c>
      <c r="J7" t="str">
        <f>VLOOKUP(F7,武器表!$B$2:$K$978,5,FALSE)</f>
        <v>-</v>
      </c>
      <c r="K7" t="str">
        <f>VLOOKUP(F7,武器表!$B$2:$K$978,6,FALSE)</f>
        <v>-</v>
      </c>
      <c r="L7" t="str">
        <f>VLOOKUP(F7,武器表!$B$2:$K$978,7,FALSE)</f>
        <v>-</v>
      </c>
      <c r="M7" t="str">
        <f>VLOOKUP(F7,武器表!$B$2:$K$978,8,FALSE)</f>
        <v>-</v>
      </c>
      <c r="N7" t="str">
        <f>VLOOKUP(F7,武器表!$B$2:$K$978,9,FALSE)</f>
        <v>-</v>
      </c>
      <c r="O7" t="str">
        <f>作成シート!C91</f>
        <v>購入</v>
      </c>
      <c r="P7">
        <f>IF(O7="購入",VLOOKUP(F7,武器表!$B$2:$K$978,10,FALSE),0)</f>
        <v>0</v>
      </c>
      <c r="Q7">
        <f>VLOOKUP(F7,武器表!$B$2:$L$978,11,FALSE)</f>
        <v>-1</v>
      </c>
      <c r="R7">
        <f>VLOOKUP($F7,武器表!$B$2:$Q$978,12,FALSE)</f>
        <v>-1</v>
      </c>
      <c r="S7">
        <f>VLOOKUP($F7,武器表!$B$2:$Q$978,13,FALSE)</f>
        <v>-1</v>
      </c>
      <c r="T7">
        <f>VLOOKUP($F7,武器表!$B$2:$Q$978,14,FALSE)</f>
        <v>-1</v>
      </c>
      <c r="V7" s="6" t="str">
        <f>IF(F7="なし","",CHAR(10)&amp;CHAR(10)&amp;"◎武器：【"&amp;F7&amp;"】"&amp;CHAR(10)&amp;"用途／属性：【"&amp;G7&amp;H7&amp;I7&amp;"／"&amp;J7&amp;" 】　　命中値合計：【"&amp;能力値!$L$10+C7+D7+L7&amp;"】"&amp;CHAR(10)&amp;"ダメージ："&amp;X7&amp;"+"&amp;C7+Y7+BD7&amp;IF(BE7="","","+"&amp;BE7)&amp;CHAR(10)&amp;"クラス："&amp;B7&amp;C7&amp;CHAR(10)&amp;"効果："&amp;N7&amp;IF(N7="","",IF(AC7&gt;0,"、",""))&amp;IF(AC7&gt;0,"追加効果値："&amp;AC7,""))</f>
        <v/>
      </c>
      <c r="W7" s="21" t="str">
        <f>IF(F7="なし","",CHAR(10)&amp;AH7&amp;REPT("　",8-LEN(AH7))&amp;AE7&amp;REPT("　",7-LEN(AE7))&amp;C7+D7+能力値!$L$10&amp;"    "&amp;L7&amp;REPT(" ",6-LEN(L7))&amp;C7+D7+能力値!$L$10+L7&amp;"  "&amp;K7&amp;REPT(" ",8-LEN(K7))&amp;C7&amp;"   "&amp;IF(BF7="","-----",BF7)&amp;" "&amp;X7&amp;"+"&amp;C7+Y7+BD7&amp;IF(BE7="","","+"&amp;BE7)&amp;" "&amp;M7)</f>
        <v/>
      </c>
      <c r="X7" t="str">
        <f>VLOOKUP(F7,武器表!$B$2:$Q$978,15,FALSE)</f>
        <v>-</v>
      </c>
      <c r="Y7">
        <f>VLOOKUP(F7,武器表!$B$2:$Q$978,16,FALSE)</f>
        <v>0</v>
      </c>
      <c r="Z7">
        <f>IF(R7&gt;-1,IF(冒険者技能!$U$19&gt;-1,R7+冒険者技能!$U$19,-1),-1)</f>
        <v>-1</v>
      </c>
      <c r="AA7">
        <f>IF(S7&gt;-1,IF(冒険者技能!$U$20&gt;-1,冒険者技能!$U$20+S7,-1),-1)</f>
        <v>-1</v>
      </c>
      <c r="AB7">
        <f>IF(T7&gt;-1,IF(冒険者技能!$U$26&gt;-1,冒険者技能!$U$26*T7,-1),-1)</f>
        <v>-1</v>
      </c>
      <c r="AC7">
        <f t="shared" si="3"/>
        <v>-1</v>
      </c>
      <c r="AD7" t="str">
        <f t="shared" si="4"/>
        <v/>
      </c>
      <c r="AE7" t="str">
        <f t="shared" si="5"/>
        <v>-</v>
      </c>
      <c r="AF7" s="6" t="str">
        <f t="shared" si="6"/>
        <v/>
      </c>
      <c r="AG7" s="6" t="str">
        <f t="shared" si="2"/>
        <v/>
      </c>
      <c r="AH7" t="str">
        <f t="shared" si="8"/>
        <v>なし</v>
      </c>
      <c r="AV7">
        <f>VLOOKUP($F7,武器表!$B$2:$W$978,17,FALSE)</f>
        <v>-1</v>
      </c>
      <c r="AW7">
        <f>VLOOKUP($F7,武器表!$B$2:$W$978,18,FALSE)</f>
        <v>-1</v>
      </c>
      <c r="AX7">
        <f>VLOOKUP($F7,武器表!$B$2:$W$978,19,FALSE)</f>
        <v>0</v>
      </c>
      <c r="AY7">
        <f>VLOOKUP($F7,武器表!$B$2:$W$978,20,FALSE)</f>
        <v>0</v>
      </c>
      <c r="AZ7">
        <f>VLOOKUP($F7,武器表!$B$2:$W$978,21,FALSE)</f>
        <v>0</v>
      </c>
      <c r="BA7">
        <f>VLOOKUP($F7,武器表!$B$2:$W$978,22,FALSE)</f>
        <v>0</v>
      </c>
      <c r="BB7">
        <f>VLOOKUP($F7,武器表!$B$2:$Y$978,23,FALSE)</f>
        <v>-1</v>
      </c>
      <c r="BC7">
        <f>VLOOKUP($F7,武器表!$B$2:$Y$978,24,FALSE)</f>
        <v>-1</v>
      </c>
      <c r="BD7">
        <f>IF(COUNTIF(F7,"*素手攻撃*")&gt;0,IF(冒険者技能!$K$32&gt;0,冒険者技能!$U$32,0),0)</f>
        <v>0</v>
      </c>
      <c r="BE7" t="str">
        <f>IF(G7="武器：格闘武器",IF(冒険者技能!$K$36&gt;0,冒険者技能!$U$36,""),"")</f>
        <v/>
      </c>
      <c r="BF7" t="str">
        <f t="shared" si="7"/>
        <v/>
      </c>
    </row>
    <row r="8" spans="1:58">
      <c r="B8" t="str">
        <f>作成シート!C93</f>
        <v>なし</v>
      </c>
      <c r="C8">
        <f>IF(B8="なし",0,VLOOKUP(B8,冒険者職業レベル!$C$3:$E$6,3,FALSE))</f>
        <v>0</v>
      </c>
      <c r="D8">
        <f>IF(G8="-",0,VLOOKUP(G8,冒険者技能!$C$37:$K$45,9,FALSE))</f>
        <v>0</v>
      </c>
      <c r="F8" t="str">
        <f>作成シート!C92</f>
        <v>なし</v>
      </c>
      <c r="G8" t="str">
        <f>VLOOKUP(F8,武器表!$B$2:$K$978,2,FALSE)</f>
        <v>-</v>
      </c>
      <c r="H8" t="str">
        <f>VLOOKUP(F8,武器表!$B$2:$K$978,3,FALSE)</f>
        <v>-</v>
      </c>
      <c r="I8" t="str">
        <f>VLOOKUP(F8,武器表!$B$2:$K$978,4,FALSE)</f>
        <v>-</v>
      </c>
      <c r="J8" t="str">
        <f>VLOOKUP(F8,武器表!$B$2:$K$978,5,FALSE)</f>
        <v>-</v>
      </c>
      <c r="K8" t="str">
        <f>VLOOKUP(F8,武器表!$B$2:$K$978,6,FALSE)</f>
        <v>-</v>
      </c>
      <c r="L8" t="str">
        <f>VLOOKUP(F8,武器表!$B$2:$K$978,7,FALSE)</f>
        <v>-</v>
      </c>
      <c r="M8" t="str">
        <f>VLOOKUP(F8,武器表!$B$2:$K$978,8,FALSE)</f>
        <v>-</v>
      </c>
      <c r="N8" t="str">
        <f>VLOOKUP(F8,武器表!$B$2:$K$978,9,FALSE)</f>
        <v>-</v>
      </c>
      <c r="O8" t="str">
        <f>作成シート!C94</f>
        <v>購入</v>
      </c>
      <c r="P8">
        <f>IF(O8="購入",VLOOKUP(F8,武器表!$B$2:$K$978,10,FALSE),0)</f>
        <v>0</v>
      </c>
      <c r="Q8">
        <f>VLOOKUP(F8,武器表!$B$2:$L$978,11,FALSE)</f>
        <v>-1</v>
      </c>
      <c r="R8">
        <f>VLOOKUP($F8,武器表!$B$2:$Q$978,12,FALSE)</f>
        <v>-1</v>
      </c>
      <c r="S8">
        <f>VLOOKUP($F8,武器表!$B$2:$Q$978,13,FALSE)</f>
        <v>-1</v>
      </c>
      <c r="T8">
        <f>VLOOKUP($F8,武器表!$B$2:$Q$978,14,FALSE)</f>
        <v>-1</v>
      </c>
      <c r="V8" s="6" t="str">
        <f>IF(F8="なし","",CHAR(10)&amp;CHAR(10)&amp;"◎武器：【"&amp;F8&amp;"】"&amp;CHAR(10)&amp;"用途／属性：【"&amp;G8&amp;H8&amp;I8&amp;"／"&amp;J8&amp;" 】　　命中値合計：【"&amp;能力値!$L$10+C8+D8+L8&amp;"】"&amp;CHAR(10)&amp;"ダメージ："&amp;X8&amp;"+"&amp;C8+Y8+BD8&amp;IF(BE8="","","+"&amp;BE8)&amp;CHAR(10)&amp;"クラス："&amp;B8&amp;C8&amp;CHAR(10)&amp;"効果："&amp;N8&amp;IF(N8="","",IF(AC8&gt;0,"、",""))&amp;IF(AC8&gt;0,"追加効果値："&amp;AC8,""))</f>
        <v/>
      </c>
      <c r="W8" s="21" t="str">
        <f>IF(F8="なし","",CHAR(10)&amp;AH8&amp;REPT("　",8-LEN(AH8))&amp;AE8&amp;REPT("　",7-LEN(AE8))&amp;C8+D8+能力値!$L$10&amp;"    "&amp;L8&amp;REPT(" ",6-LEN(L8))&amp;C8+D8+能力値!$L$10+L8&amp;"  "&amp;K8&amp;REPT(" ",8-LEN(K8))&amp;C8&amp;"   "&amp;IF(BF8="","-----",BF8)&amp;" "&amp;X8&amp;"+"&amp;C8+Y8+BD8&amp;IF(BE8="","","+"&amp;BE8)&amp;" "&amp;M8)</f>
        <v/>
      </c>
      <c r="X8" t="str">
        <f>VLOOKUP(F8,武器表!$B$2:$Q$978,15,FALSE)</f>
        <v>-</v>
      </c>
      <c r="Y8">
        <f>VLOOKUP(F8,武器表!$B$2:$Q$978,16,FALSE)</f>
        <v>0</v>
      </c>
      <c r="Z8">
        <f>IF(R8&gt;-1,IF(冒険者技能!$U$19&gt;-1,R8+冒険者技能!$U$19,-1),-1)</f>
        <v>-1</v>
      </c>
      <c r="AA8">
        <f>IF(S8&gt;-1,IF(冒険者技能!$U$20&gt;-1,冒険者技能!$U$20+S8,-1),-1)</f>
        <v>-1</v>
      </c>
      <c r="AB8">
        <f>IF(T8&gt;-1,IF(冒険者技能!$U$26&gt;-1,冒険者技能!$U$26*T8,-1),-1)</f>
        <v>-1</v>
      </c>
      <c r="AC8">
        <f t="shared" si="3"/>
        <v>-1</v>
      </c>
      <c r="AD8" t="str">
        <f t="shared" si="4"/>
        <v/>
      </c>
      <c r="AE8" t="str">
        <f t="shared" si="5"/>
        <v>-</v>
      </c>
      <c r="AF8" s="6" t="str">
        <f t="shared" si="6"/>
        <v/>
      </c>
      <c r="AG8" s="6" t="str">
        <f t="shared" si="2"/>
        <v/>
      </c>
      <c r="AH8" t="str">
        <f t="shared" si="8"/>
        <v>なし</v>
      </c>
      <c r="AV8">
        <f>VLOOKUP($F8,武器表!$B$2:$W$978,17,FALSE)</f>
        <v>-1</v>
      </c>
      <c r="AW8">
        <f>VLOOKUP($F8,武器表!$B$2:$W$978,18,FALSE)</f>
        <v>-1</v>
      </c>
      <c r="AX8">
        <f>VLOOKUP($F8,武器表!$B$2:$W$978,19,FALSE)</f>
        <v>0</v>
      </c>
      <c r="AY8">
        <f>VLOOKUP($F8,武器表!$B$2:$W$978,20,FALSE)</f>
        <v>0</v>
      </c>
      <c r="AZ8">
        <f>VLOOKUP($F8,武器表!$B$2:$W$978,21,FALSE)</f>
        <v>0</v>
      </c>
      <c r="BA8">
        <f>VLOOKUP($F8,武器表!$B$2:$W$978,22,FALSE)</f>
        <v>0</v>
      </c>
      <c r="BB8">
        <f>VLOOKUP($F8,武器表!$B$2:$Y$978,23,FALSE)</f>
        <v>-1</v>
      </c>
      <c r="BC8">
        <f>VLOOKUP($F8,武器表!$B$2:$Y$978,24,FALSE)</f>
        <v>-1</v>
      </c>
      <c r="BD8">
        <f>IF(COUNTIF(F8,"*素手攻撃*")&gt;0,IF(冒険者技能!$K$32&gt;0,冒険者技能!$U$32,0),0)</f>
        <v>0</v>
      </c>
      <c r="BE8" t="str">
        <f>IF(G8="武器：格闘武器",IF(冒険者技能!$K$36&gt;0,冒険者技能!$U$36,""),"")</f>
        <v/>
      </c>
      <c r="BF8" t="str">
        <f t="shared" si="7"/>
        <v/>
      </c>
    </row>
    <row r="11" spans="1:58">
      <c r="A11" t="s">
        <v>422</v>
      </c>
    </row>
    <row r="12" spans="1:58">
      <c r="B12" t="s">
        <v>377</v>
      </c>
      <c r="C12" t="s">
        <v>378</v>
      </c>
      <c r="D12" t="s">
        <v>379</v>
      </c>
      <c r="E12" t="s">
        <v>423</v>
      </c>
      <c r="F12" t="s">
        <v>120</v>
      </c>
      <c r="G12" t="s">
        <v>384</v>
      </c>
      <c r="H12" t="s">
        <v>424</v>
      </c>
      <c r="I12" t="s">
        <v>416</v>
      </c>
      <c r="J12" t="s">
        <v>417</v>
      </c>
      <c r="K12" t="s">
        <v>425</v>
      </c>
      <c r="L12" t="s">
        <v>426</v>
      </c>
      <c r="M12" t="s">
        <v>427</v>
      </c>
      <c r="N12" t="s">
        <v>388</v>
      </c>
      <c r="O12" t="s">
        <v>2168</v>
      </c>
      <c r="P12" t="s">
        <v>389</v>
      </c>
      <c r="Q12" t="s">
        <v>428</v>
      </c>
      <c r="R12" t="s">
        <v>429</v>
      </c>
      <c r="S12" t="s">
        <v>430</v>
      </c>
      <c r="T12" t="s">
        <v>431</v>
      </c>
      <c r="U12" t="s">
        <v>382</v>
      </c>
    </row>
    <row r="13" spans="1:58">
      <c r="B13" t="str">
        <f>作成シート!C96</f>
        <v>戦士</v>
      </c>
      <c r="C13">
        <f>IF(B13="なし",0,VLOOKUP(B13,冒険者職業レベル!$C$3:$E$6,3,FALSE))</f>
        <v>3</v>
      </c>
      <c r="D13">
        <f>IF(G13="-",0,VLOOKUP(G13,冒険者技能!$C$47:$K$49,9,FALSE))</f>
        <v>0</v>
      </c>
      <c r="E13">
        <f>冒険者技能!K29</f>
        <v>0</v>
      </c>
      <c r="F13" t="str">
        <f>作成シート!C95</f>
        <v>革鎧</v>
      </c>
      <c r="G13" t="str">
        <f>VLOOKUP(F13,鎧表!$B$3:$M$122,2,FALSE)</f>
        <v>鎧：軽鎧</v>
      </c>
      <c r="H13">
        <f>VLOOKUP(F13,鎧表!$B$3:$M$122,5,FALSE)</f>
        <v>2</v>
      </c>
      <c r="I13">
        <f>VLOOKUP(F13,鎧表!$B$3:$M$122,6,FALSE)</f>
        <v>0</v>
      </c>
      <c r="J13">
        <f>VLOOKUP(F13,鎧表!$B$3:$M$122,7,FALSE)</f>
        <v>0</v>
      </c>
      <c r="K13" t="str">
        <f>VLOOKUP(F13,鎧表!$B$3:$M$122,8,FALSE)</f>
        <v>普通(-4)</v>
      </c>
      <c r="L13">
        <f>VLOOKUP(F13,鎧表!$B$3:$M$122,10,FALSE)</f>
        <v>0</v>
      </c>
      <c r="M13">
        <f>VLOOKUP(F13,鎧表!$B$3:$M$122,11,FALSE)</f>
        <v>100</v>
      </c>
      <c r="N13" t="str">
        <f>VLOOKUP(F13,鎧表!$B$3:$M$122,12,FALSE)</f>
        <v>なし</v>
      </c>
      <c r="O13" t="str">
        <f>作成シート!C97</f>
        <v>購入</v>
      </c>
      <c r="P13">
        <f>IF(O13="購入",VLOOKUP(F13,鎧表!$B$3:$M$122,9,FALSE),0)</f>
        <v>30</v>
      </c>
      <c r="Q13">
        <f>能力値!J11+冒険者技能!K18</f>
        <v>8</v>
      </c>
      <c r="R13">
        <f>IF(M13&gt;Q13,I13,ROUNDDOWN(I13/2,0))+IF(AO13&gt;0,IF(冒険者職業レベル!E5&gt;0,AO13,0),0)</f>
        <v>0</v>
      </c>
      <c r="S13">
        <f>IF(M13&gt;Q13,J13,ROUNDDOWN(J13/2,0))</f>
        <v>0</v>
      </c>
      <c r="T13" t="str">
        <f>VLOOKUP(F13,鎧表!$B$3:$M$122,3,FALSE)</f>
        <v>革</v>
      </c>
      <c r="U13" t="str">
        <f>VLOOKUP(F13,鎧表!$B$3:$M$122,4,FALSE)</f>
        <v>軽</v>
      </c>
      <c r="V13" s="6" t="str">
        <f>IF(F13="なし","",CHAR(10)&amp;"◎鎧：【"&amp;F13&amp;"】"&amp;CHAR(10)&amp;"属性：【"&amp;G13&amp;"("&amp;T13&amp;")／"&amp;U13&amp;" 】　　回避値合計：【"&amp;能力値!L12+E13+C13+R13+IF(冒険者技能!K17=0,0,IF(Q3=-1,0,Q3+冒険者技能!K17)+IF(Q17=-1,0,Q17+冒険者技能!K18))+$BA$1&amp;"】"&amp;CHAR(10)&amp;"移動力合計：【"&amp;S13+状態!F12+AY1+その他の所持品!C1&amp;"】　　装甲値合計：【"&amp;H13+D13&amp;IF(AI13&gt;0,"+"&amp;AI13&amp;"(竜の末裔)","")&amp;IF(AL13&gt;0,IF(MAX(冒険者職業レベル!E8,冒険者職業レベル!E9)&gt;0,"+"&amp;AL13&amp;"(神官)",""),"")&amp;IF(AM13&gt;0,IF(MAX(冒険者職業レベル!E8,冒険者職業レベル!E9)&gt;4,"+"&amp;AM13&amp;"(神官)",""),"")&amp;IF(その他の所持品!$D$1&gt;0,"+"&amp;その他の所持品!$D$1&amp;"(道具)","")&amp;"】　隠密性：【"&amp;K13&amp;"】 "&amp;CHAR(10)&amp;"効果："&amp;N13)</f>
        <v xml:space="preserve">
◎鎧：【革鎧】
属性：【鎧：軽鎧(革)／軽 】　　回避値合計：【8】
移動力合計：【21】　　装甲値合計：【2】　隠密性：【普通(-4)】 
効果：なし</v>
      </c>
      <c r="W13" t="str">
        <f>IF(F13="なし","",AH13&amp;REPT("　",7-LEN(AH13))&amp;" "&amp;AE13&amp;"   "&amp;C13+E13+能力値!L12&amp;REPT(" ",7-LEN(C13+E13+能力値!L12))&amp;R13&amp;"    "&amp;C13+E13+能力値!L12+R13&amp;REPT(" ",6-LEN(C13+E13+能力値!L12+R13))&amp;D13+H13+AI13+IF(AL13&gt;0,IF(MAX(冒険者職業レベル!E8,冒険者職業レベル!E9)&gt;0,AL13,0),0)+IF(AM13&gt;0,IF(MAX(冒険者職業レベル!E8,冒険者職業レベル!E9)&gt;4,AM13,0),0)&amp;"  "&amp;LEFT(K13,2)&amp;"   "&amp;状態!F12&amp;REPT(" ",7-LEN(状態!F12))&amp;S13&amp;REPT(" ",7-LEN(S13))&amp;その他の所持品!C1+AY1&amp;REPT(" ",4-LEN(その他の所持品!C1))&amp;その他の所持品!C1+状態!F12+S13+AY1&amp;REPT(" ",5-LEN(その他の所持品!C1+状態!F12+S13))&amp;N13)</f>
        <v>革鎧　　　　　 軽鎧   8      0    8     2  普通   21     0      0   21   なし</v>
      </c>
      <c r="AE13" t="str">
        <f>SUBSTITUTE(G13,"鎧：","")</f>
        <v>軽鎧</v>
      </c>
      <c r="AH13" t="str">
        <f>LEFT(F13,6)</f>
        <v>革鎧</v>
      </c>
      <c r="AI13">
        <f>一般技能!$I$45</f>
        <v>0</v>
      </c>
      <c r="AJ13">
        <f>VLOOKUP($F13,鎧表!$B$3:$U$122,13,FALSE)</f>
        <v>-4</v>
      </c>
      <c r="AK13">
        <f>VLOOKUP($F13,鎧表!$B$3:$U$122,14,FALSE)</f>
        <v>-4</v>
      </c>
      <c r="AL13">
        <f>VLOOKUP($F13,鎧表!$B$3:$U$122,15,FALSE)</f>
        <v>-1</v>
      </c>
      <c r="AM13">
        <f>VLOOKUP($F13,鎧表!$B$3:$U$122,16,FALSE)</f>
        <v>-1</v>
      </c>
      <c r="AN13">
        <f>VLOOKUP($F13,鎧表!$B$3:$U$122,17,FALSE)</f>
        <v>-1</v>
      </c>
      <c r="AO13">
        <f>VLOOKUP($F13,鎧表!$B$3:$U$122,18,FALSE)</f>
        <v>-1</v>
      </c>
      <c r="AP13">
        <f>VLOOKUP($F13,鎧表!$B$3:$U$122,19,FALSE)</f>
        <v>-1</v>
      </c>
      <c r="AQ13">
        <f>VLOOKUP($F13,鎧表!$B$3:$U$122,20,FALSE)</f>
        <v>-1</v>
      </c>
      <c r="AR13">
        <f>VLOOKUP($F13,鎧表!$B$3:$V$122,21,FALSE)</f>
        <v>0</v>
      </c>
      <c r="AS13">
        <f>AJ13+IF(AN13&gt;0,IF(冒険者職業レベル!E5&gt;0,AN13,0),0)</f>
        <v>-4</v>
      </c>
      <c r="AT13">
        <f>VLOOKUP($F13,鎧表!$B$3:$W$122,22,FALSE)</f>
        <v>0</v>
      </c>
      <c r="AU13">
        <f>IF(AP13&gt;0,AP13,0)+IF(冒険者職業レベル!E8&gt;0,IF(AQ13&gt;0,IF(プロフィール!C20="戦女神",AQ13,0),0),0)</f>
        <v>0</v>
      </c>
    </row>
    <row r="16" spans="1:58">
      <c r="B16" t="s">
        <v>377</v>
      </c>
      <c r="C16" t="s">
        <v>378</v>
      </c>
      <c r="D16" t="s">
        <v>379</v>
      </c>
      <c r="F16" t="s">
        <v>124</v>
      </c>
      <c r="G16" t="s">
        <v>384</v>
      </c>
      <c r="H16" t="s">
        <v>432</v>
      </c>
      <c r="I16" t="s">
        <v>433</v>
      </c>
      <c r="K16" t="s">
        <v>425</v>
      </c>
      <c r="N16" t="s">
        <v>388</v>
      </c>
      <c r="O16" t="s">
        <v>2168</v>
      </c>
      <c r="P16" t="s">
        <v>389</v>
      </c>
      <c r="Q16" t="s">
        <v>390</v>
      </c>
      <c r="T16" t="s">
        <v>431</v>
      </c>
      <c r="U16" t="s">
        <v>382</v>
      </c>
    </row>
    <row r="17" spans="2:36" ht="55.5" customHeight="1">
      <c r="B17" t="str">
        <f>作成シート!C99</f>
        <v>戦士</v>
      </c>
      <c r="C17">
        <f>IF(B17="なし",0,VLOOKUP(B17,冒険者職業レベル!$C$3:$E$6,3,FALSE))</f>
        <v>3</v>
      </c>
      <c r="D17">
        <f>冒険者技能!K30</f>
        <v>0</v>
      </c>
      <c r="F17" t="str">
        <f>作成シート!C98</f>
        <v>円盾</v>
      </c>
      <c r="G17" t="str">
        <f>VLOOKUP($F17,盾表!$B$3:$K$122,2,FALSE)</f>
        <v>小型盾</v>
      </c>
      <c r="H17">
        <f>VLOOKUP($F17,盾表!$B$3:$K$122,6,FALSE)</f>
        <v>3</v>
      </c>
      <c r="I17">
        <f>VLOOKUP($F17,盾表!$B$3:$K$122,5,FALSE)</f>
        <v>4</v>
      </c>
      <c r="K17" t="str">
        <f>VLOOKUP($F17,盾表!$B$3:$K$122,7,FALSE)</f>
        <v>普通(-4)</v>
      </c>
      <c r="N17" t="str">
        <f>VLOOKUP($F17,盾表!$B$3:$K$122,9,FALSE)</f>
        <v>なし</v>
      </c>
      <c r="O17" t="str">
        <f>作成シート!C100</f>
        <v>購入</v>
      </c>
      <c r="P17">
        <f>IF(O17="購入",VLOOKUP($F17,盾表!$B$3:$K$122,8,FALSE),0)</f>
        <v>35</v>
      </c>
      <c r="Q17">
        <f>VLOOKUP($F17,盾表!$B$3:$K$122,10,FALSE)</f>
        <v>-1</v>
      </c>
      <c r="T17" t="str">
        <f>VLOOKUP($F17,盾表!$B$3:$K$122,3,FALSE)</f>
        <v>木</v>
      </c>
      <c r="U17" t="str">
        <f>VLOOKUP($F17,盾表!$B$3:$K$122,4,FALSE)</f>
        <v>軽</v>
      </c>
      <c r="V17" s="6" t="str">
        <f>IF(F17="なし","",CHAR(10)&amp;"◎盾：【"&amp;F17&amp;"】"&amp;CHAR(10)&amp;"属性：【"&amp;G17&amp;"("&amp;T17&amp;")／"&amp;U17&amp;" 】"&amp;CHAR(10)&amp;"盾受け基準値合計：【"&amp;能力値!L12+C17+D17+I17&amp;"】　　盾受け値＋装甲合計：【"&amp;H17+D17&amp;"+"&amp;D13+H13&amp;IF(AI13&gt;0,"+"&amp;AI13&amp;"(竜の末裔)","")&amp;IF(AL13&gt;0,IF(MAX(冒険者職業レベル!E8,冒険者職業レベル!E9)&gt;0,"+"&amp;AL13&amp;"(神官)",""),"")&amp;IF(AM13&gt;0,IF(MAX(冒険者職業レベル!E8,冒険者職業レベル!E9)&gt;4,"+"&amp;AM13&amp;"(神官)",""),"")&amp;IF(その他の所持品!$D$1&gt;0,"+"&amp;その他の所持品!$D$1&amp;"(道具)","")&amp;"】　　隠密性：【"&amp;K17&amp;"】 "&amp;CHAR(10)&amp;"効果："&amp;N17)</f>
        <v xml:space="preserve">
◎盾：【円盾】
属性：【小型盾(木)／軽 】
盾受け基準値合計：【12】　　盾受け値＋装甲合計：【3+2】　　隠密性：【普通(-4)】 
効果：なし</v>
      </c>
      <c r="W17" t="str">
        <f>IF(F17="なし","",F17&amp;REPT("　",10-LEN(F17))&amp;G17&amp;"   "&amp;C17+D17+能力値!L12&amp;REPT(" ",7-LEN(C17+D17+能力値!L12))&amp;I17&amp;REPT(" ",4-LEN(I17))&amp;C17+D17+能力値!L12+I17&amp;REPT(" ",7-LEN(C17+D17+能力値!L12+I17))&amp;H17+D17&amp;REPT(" ",5-LEN(H17+D17))&amp;H13+D13+AI13+IF(AL13&gt;0,IF(MAX(冒険者職業レベル!E8,冒険者職業レベル!E9)&gt;0,AL13,0),0)+IF(AM13&gt;0,IF(MAX(冒険者職業レベル!E8,冒険者職業レベル!E9)&gt;4,AM13,0),0)&amp;REPT(" ",6-LEN(H13+D13+AI13))&amp;H17+D17+H13+D13+AI13&amp;REPT(" ",4-LEN(H17+D17+H13+D13))&amp;LEFT(K17,2)&amp;"  "&amp;N17)</f>
        <v>円盾　　　　　　　　小型盾   8      4   12     3    2     5   普通  なし</v>
      </c>
      <c r="AH17" t="str">
        <f>LEFT(F17,6)</f>
        <v>円盾</v>
      </c>
      <c r="AJ17">
        <f>VLOOKUP($F17,盾表!$B$3:$L$122,11,FALSE)</f>
        <v>-4</v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6">
        <x14:dataValidation type="list" allowBlank="1" showInputMessage="1" showErrorMessage="1">
          <x14:formula1>
            <xm:f>武器表!$B$2:$B$999</xm:f>
          </x14:formula1>
          <xm:sqref>F3:F8</xm:sqref>
        </x14:dataValidation>
        <x14:dataValidation type="list" allowBlank="1" showInputMessage="1" showErrorMessage="1">
          <x14:formula1>
            <xm:f>鎧表!$B$3:$B$256</xm:f>
          </x14:formula1>
          <xm:sqref>F13</xm:sqref>
        </x14:dataValidation>
        <x14:dataValidation type="list" allowBlank="1" showInputMessage="1" showErrorMessage="1">
          <x14:formula1>
            <xm:f>ラベル!$S$2:$S$4</xm:f>
          </x14:formula1>
          <xm:sqref>B17</xm:sqref>
        </x14:dataValidation>
        <x14:dataValidation type="list" allowBlank="1" showInputMessage="1" showErrorMessage="1">
          <x14:formula1>
            <xm:f>盾表!$B$3:$B$122</xm:f>
          </x14:formula1>
          <xm:sqref>F17</xm:sqref>
        </x14:dataValidation>
        <x14:dataValidation type="list" allowBlank="1" showInputMessage="1" showErrorMessage="1">
          <x14:formula1>
            <xm:f>ラベル!$T$2:$T$5</xm:f>
          </x14:formula1>
          <xm:sqref>B13</xm:sqref>
        </x14:dataValidation>
        <x14:dataValidation type="list" showInputMessage="1" showErrorMessage="1">
          <x14:formula1>
            <xm:f>ラベル!$R$2:$R$6</xm:f>
          </x14:formula1>
          <xm:sqref>B3:B8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L20"/>
  <sheetViews>
    <sheetView workbookViewId="0">
      <selection activeCell="H34" sqref="H34"/>
    </sheetView>
  </sheetViews>
  <sheetFormatPr defaultRowHeight="13"/>
  <cols>
    <col min="2" max="2" width="38.453125" customWidth="1"/>
    <col min="11" max="11" width="120.6328125" customWidth="1"/>
    <col min="12" max="12" width="72.453125" customWidth="1"/>
  </cols>
  <sheetData>
    <row r="1" spans="2:12" ht="52">
      <c r="C1">
        <f>SUM(C3:C20)</f>
        <v>0</v>
      </c>
      <c r="D1">
        <f t="shared" ref="D1:I1" si="0">MAX(D3:D20)</f>
        <v>0</v>
      </c>
      <c r="E1">
        <f t="shared" si="0"/>
        <v>0</v>
      </c>
      <c r="F1">
        <f t="shared" si="0"/>
        <v>0</v>
      </c>
      <c r="G1">
        <f t="shared" si="0"/>
        <v>0</v>
      </c>
      <c r="H1">
        <f t="shared" si="0"/>
        <v>0</v>
      </c>
      <c r="I1">
        <f t="shared" si="0"/>
        <v>0</v>
      </c>
      <c r="J1">
        <f>SUM(J12:J20)</f>
        <v>10</v>
      </c>
      <c r="K1" s="6" t="str">
        <f>K3&amp;K4&amp;K5&amp;K6&amp;K7&amp;K8&amp;K9&amp;K10&amp;K11&amp;K12&amp;K13&amp;K14&amp;K15&amp;K16&amp;K17&amp;K18&amp;K19&amp;K20</f>
        <v xml:space="preserve">
冒険者ツール(鈎縄10m、楔10個、小槌、火口箱、背負い袋、携帯用食器、水袋、白墨、小刀、松明(6本))
携帯食：21
衣類
治癒の水薬</v>
      </c>
      <c r="L1" s="6" t="str">
        <f>K6&amp;K7&amp;K8&amp;K9&amp;K10&amp;K11&amp;K12&amp;K13&amp;K14&amp;K15&amp;K16&amp;K17&amp;K18&amp;K19</f>
        <v xml:space="preserve">
治癒の水薬</v>
      </c>
    </row>
    <row r="2" spans="2:12" ht="14.15" customHeight="1">
      <c r="B2" t="s">
        <v>434</v>
      </c>
      <c r="C2" t="s">
        <v>417</v>
      </c>
      <c r="D2" t="s">
        <v>435</v>
      </c>
      <c r="E2" t="s">
        <v>436</v>
      </c>
      <c r="F2" t="s">
        <v>414</v>
      </c>
      <c r="G2" t="s">
        <v>415</v>
      </c>
      <c r="H2" t="s">
        <v>437</v>
      </c>
      <c r="I2" t="s">
        <v>421</v>
      </c>
      <c r="J2" t="s">
        <v>2165</v>
      </c>
      <c r="K2" s="6"/>
    </row>
    <row r="3" spans="2:12" ht="14.15" customHeight="1">
      <c r="B3" t="str">
        <f>作成シート!C101</f>
        <v>冒険者ツール(鈎縄10m、楔10個、小槌、火口箱、背負い袋、携帯用食器、水袋、白墨、小刀、松明(6本))</v>
      </c>
      <c r="C3">
        <f>VLOOKUP(B3,固定値!$BL$1:$BM$999,2,FALSE)</f>
        <v>0</v>
      </c>
      <c r="D3">
        <f>VLOOKUP($B3,固定値!$BL$1:$BU$999,3,FALSE)</f>
        <v>0</v>
      </c>
      <c r="E3">
        <f>VLOOKUP($B3,固定値!$BL$1:$BU$999,4,FALSE)</f>
        <v>0</v>
      </c>
      <c r="F3">
        <f>VLOOKUP($B3,固定値!$BL$1:$BU$999,5,FALSE)</f>
        <v>0</v>
      </c>
      <c r="G3">
        <f>VLOOKUP($B3,固定値!$BL$1:$BU$999,6,FALSE)</f>
        <v>0</v>
      </c>
      <c r="H3">
        <f>VLOOKUP($B3,固定値!$BL$1:$BU$999,7,FALSE)</f>
        <v>0</v>
      </c>
      <c r="I3">
        <f>VLOOKUP($B3,固定値!$BL$1:$BU$999,8,FALSE)</f>
        <v>0</v>
      </c>
      <c r="K3" s="6" t="str">
        <f>IF(B3="なし","",CHAR(10)&amp;B3&amp;IF(C3&lt;0,"("&amp;C3&amp;")",""))</f>
        <v xml:space="preserve">
冒険者ツール(鈎縄10m、楔10個、小槌、火口箱、背負い袋、携帯用食器、水袋、白墨、小刀、松明(6本))</v>
      </c>
    </row>
    <row r="4" spans="2:12" ht="14.15" customHeight="1">
      <c r="B4" t="str">
        <f>作成シート!C102</f>
        <v>携帯食：21</v>
      </c>
      <c r="C4">
        <f>VLOOKUP(B4,固定値!$BL$1:$BM$999,2,FALSE)</f>
        <v>0</v>
      </c>
      <c r="D4">
        <f>VLOOKUP($B4,固定値!$BL$1:$BU$999,3,FALSE)</f>
        <v>0</v>
      </c>
      <c r="E4">
        <f>VLOOKUP($B4,固定値!$BL$1:$BU$999,4,FALSE)</f>
        <v>0</v>
      </c>
      <c r="F4">
        <f>VLOOKUP($B4,固定値!$BL$1:$BU$999,5,FALSE)</f>
        <v>0</v>
      </c>
      <c r="G4">
        <f>VLOOKUP($B4,固定値!$BL$1:$BU$999,6,FALSE)</f>
        <v>0</v>
      </c>
      <c r="H4">
        <f>VLOOKUP($B4,固定値!$BL$1:$BU$999,7,FALSE)</f>
        <v>0</v>
      </c>
      <c r="I4">
        <f>VLOOKUP($B4,固定値!$BL$1:$BU$999,8,FALSE)</f>
        <v>0</v>
      </c>
      <c r="K4" s="6" t="str">
        <f t="shared" ref="K4:K20" si="1">IF(B4="なし","",CHAR(10)&amp;B4&amp;IF(C4&lt;0,"("&amp;C4&amp;")",""))</f>
        <v xml:space="preserve">
携帯食：21</v>
      </c>
    </row>
    <row r="5" spans="2:12" ht="14.15" customHeight="1">
      <c r="B5" t="str">
        <f>作成シート!C103</f>
        <v>衣類</v>
      </c>
      <c r="C5">
        <f>VLOOKUP(B5,固定値!$BL$1:$BM$999,2,FALSE)</f>
        <v>0</v>
      </c>
      <c r="D5">
        <f>VLOOKUP($B5,固定値!$BL$1:$BU$999,3,FALSE)</f>
        <v>0</v>
      </c>
      <c r="E5">
        <f>VLOOKUP($B5,固定値!$BL$1:$BU$999,4,FALSE)</f>
        <v>0</v>
      </c>
      <c r="F5">
        <f>VLOOKUP($B5,固定値!$BL$1:$BU$999,5,FALSE)</f>
        <v>0</v>
      </c>
      <c r="G5">
        <f>VLOOKUP($B5,固定値!$BL$1:$BU$999,6,FALSE)</f>
        <v>0</v>
      </c>
      <c r="H5">
        <f>VLOOKUP($B5,固定値!$BL$1:$BU$999,7,FALSE)</f>
        <v>0</v>
      </c>
      <c r="I5">
        <f>VLOOKUP($B5,固定値!$BL$1:$BU$999,8,FALSE)</f>
        <v>0</v>
      </c>
      <c r="K5" s="6" t="str">
        <f t="shared" si="1"/>
        <v xml:space="preserve">
衣類</v>
      </c>
    </row>
    <row r="6" spans="2:12" ht="14.15" customHeight="1">
      <c r="B6" t="str">
        <f>作成シート!C104</f>
        <v>なし</v>
      </c>
      <c r="C6">
        <f>VLOOKUP(B6,固定値!$BL$1:$BM$999,2,FALSE)</f>
        <v>0</v>
      </c>
      <c r="D6">
        <f>VLOOKUP($B6,固定値!$BL$1:$BU$999,3,FALSE)</f>
        <v>0</v>
      </c>
      <c r="E6">
        <f>VLOOKUP($B6,固定値!$BL$1:$BU$999,4,FALSE)</f>
        <v>0</v>
      </c>
      <c r="F6">
        <f>VLOOKUP($B6,固定値!$BL$1:$BU$999,5,FALSE)</f>
        <v>0</v>
      </c>
      <c r="G6">
        <f>VLOOKUP($B6,固定値!$BL$1:$BU$999,6,FALSE)</f>
        <v>0</v>
      </c>
      <c r="H6">
        <f>VLOOKUP($B6,固定値!$BL$1:$BU$999,7,FALSE)</f>
        <v>0</v>
      </c>
      <c r="I6">
        <f>VLOOKUP($B6,固定値!$BL$1:$BU$999,8,FALSE)</f>
        <v>0</v>
      </c>
      <c r="K6" s="6" t="str">
        <f t="shared" si="1"/>
        <v/>
      </c>
    </row>
    <row r="7" spans="2:12" ht="14.15" customHeight="1">
      <c r="B7" t="str">
        <f>作成シート!C105</f>
        <v>なし</v>
      </c>
      <c r="C7">
        <f>VLOOKUP(B7,固定値!$BL$1:$BM$999,2,FALSE)</f>
        <v>0</v>
      </c>
      <c r="D7">
        <f>VLOOKUP($B7,固定値!$BL$1:$BU$999,3,FALSE)</f>
        <v>0</v>
      </c>
      <c r="E7">
        <f>VLOOKUP($B7,固定値!$BL$1:$BU$999,4,FALSE)</f>
        <v>0</v>
      </c>
      <c r="F7">
        <f>VLOOKUP($B7,固定値!$BL$1:$BU$999,5,FALSE)</f>
        <v>0</v>
      </c>
      <c r="G7">
        <f>VLOOKUP($B7,固定値!$BL$1:$BU$999,6,FALSE)</f>
        <v>0</v>
      </c>
      <c r="H7">
        <f>VLOOKUP($B7,固定値!$BL$1:$BU$999,7,FALSE)</f>
        <v>0</v>
      </c>
      <c r="I7">
        <f>VLOOKUP($B7,固定値!$BL$1:$BU$999,8,FALSE)</f>
        <v>0</v>
      </c>
      <c r="K7" s="6" t="str">
        <f t="shared" si="1"/>
        <v/>
      </c>
    </row>
    <row r="8" spans="2:12" ht="14.15" customHeight="1">
      <c r="B8" t="str">
        <f>作成シート!C106</f>
        <v>なし</v>
      </c>
      <c r="C8">
        <f>VLOOKUP(B8,固定値!$BL$1:$BM$999,2,FALSE)</f>
        <v>0</v>
      </c>
      <c r="D8">
        <f>VLOOKUP($B8,固定値!$BL$1:$BU$999,3,FALSE)</f>
        <v>0</v>
      </c>
      <c r="E8">
        <f>VLOOKUP($B8,固定値!$BL$1:$BU$999,4,FALSE)</f>
        <v>0</v>
      </c>
      <c r="F8">
        <f>VLOOKUP($B8,固定値!$BL$1:$BU$999,5,FALSE)</f>
        <v>0</v>
      </c>
      <c r="G8">
        <f>VLOOKUP($B8,固定値!$BL$1:$BU$999,6,FALSE)</f>
        <v>0</v>
      </c>
      <c r="H8">
        <f>VLOOKUP($B8,固定値!$BL$1:$BU$999,7,FALSE)</f>
        <v>0</v>
      </c>
      <c r="I8">
        <f>VLOOKUP($B8,固定値!$BL$1:$BU$999,8,FALSE)</f>
        <v>0</v>
      </c>
      <c r="K8" s="6" t="str">
        <f t="shared" si="1"/>
        <v/>
      </c>
    </row>
    <row r="9" spans="2:12" ht="14.15" customHeight="1">
      <c r="B9" t="str">
        <f>作成シート!C107</f>
        <v>なし</v>
      </c>
      <c r="C9">
        <f>VLOOKUP(B9,固定値!$BL$1:$BM$999,2,FALSE)</f>
        <v>0</v>
      </c>
      <c r="D9">
        <f>VLOOKUP($B9,固定値!$BL$1:$BU$999,3,FALSE)</f>
        <v>0</v>
      </c>
      <c r="E9">
        <f>VLOOKUP($B9,固定値!$BL$1:$BU$999,4,FALSE)</f>
        <v>0</v>
      </c>
      <c r="F9">
        <f>VLOOKUP($B9,固定値!$BL$1:$BU$999,5,FALSE)</f>
        <v>0</v>
      </c>
      <c r="G9">
        <f>VLOOKUP($B9,固定値!$BL$1:$BU$999,6,FALSE)</f>
        <v>0</v>
      </c>
      <c r="H9">
        <f>VLOOKUP($B9,固定値!$BL$1:$BU$999,7,FALSE)</f>
        <v>0</v>
      </c>
      <c r="I9">
        <f>VLOOKUP($B9,固定値!$BL$1:$BU$999,8,FALSE)</f>
        <v>0</v>
      </c>
      <c r="K9" s="6" t="str">
        <f t="shared" si="1"/>
        <v/>
      </c>
    </row>
    <row r="10" spans="2:12" ht="14.15" customHeight="1">
      <c r="B10" t="str">
        <f>作成シート!C108</f>
        <v>なし</v>
      </c>
      <c r="C10">
        <f>VLOOKUP(B10,固定値!$BL$1:$BM$999,2,FALSE)</f>
        <v>0</v>
      </c>
      <c r="D10">
        <f>VLOOKUP($B10,固定値!$BL$1:$BU$999,3,FALSE)</f>
        <v>0</v>
      </c>
      <c r="E10">
        <f>VLOOKUP($B10,固定値!$BL$1:$BU$999,4,FALSE)</f>
        <v>0</v>
      </c>
      <c r="F10">
        <f>VLOOKUP($B10,固定値!$BL$1:$BU$999,5,FALSE)</f>
        <v>0</v>
      </c>
      <c r="G10">
        <f>VLOOKUP($B10,固定値!$BL$1:$BU$999,6,FALSE)</f>
        <v>0</v>
      </c>
      <c r="H10">
        <f>VLOOKUP($B10,固定値!$BL$1:$BU$999,7,FALSE)</f>
        <v>0</v>
      </c>
      <c r="I10">
        <f>VLOOKUP($B10,固定値!$BL$1:$BU$999,8,FALSE)</f>
        <v>0</v>
      </c>
      <c r="K10" s="6" t="str">
        <f t="shared" si="1"/>
        <v/>
      </c>
    </row>
    <row r="11" spans="2:12" ht="14.15" customHeight="1">
      <c r="B11" t="str">
        <f>作成シート!C109</f>
        <v>なし</v>
      </c>
      <c r="C11">
        <f>VLOOKUP(B11,固定値!$BL$1:$BM$999,2,FALSE)</f>
        <v>0</v>
      </c>
      <c r="D11">
        <f>VLOOKUP($B11,固定値!$BL$1:$BU$999,3,FALSE)</f>
        <v>0</v>
      </c>
      <c r="E11">
        <f>VLOOKUP($B11,固定値!$BL$1:$BU$999,4,FALSE)</f>
        <v>0</v>
      </c>
      <c r="F11">
        <f>VLOOKUP($B11,固定値!$BL$1:$BU$999,5,FALSE)</f>
        <v>0</v>
      </c>
      <c r="G11">
        <f>VLOOKUP($B11,固定値!$BL$1:$BU$999,6,FALSE)</f>
        <v>0</v>
      </c>
      <c r="H11">
        <f>VLOOKUP($B11,固定値!$BL$1:$BU$999,7,FALSE)</f>
        <v>0</v>
      </c>
      <c r="I11">
        <f>VLOOKUP($B11,固定値!$BL$1:$BU$999,8,FALSE)</f>
        <v>0</v>
      </c>
      <c r="K11" s="6" t="str">
        <f t="shared" si="1"/>
        <v/>
      </c>
    </row>
    <row r="12" spans="2:12" ht="14.15" customHeight="1">
      <c r="B12" t="str">
        <f>作成シート!C110</f>
        <v>治癒の水薬</v>
      </c>
      <c r="C12">
        <f>VLOOKUP(B12,固定値!$BL$1:$BM$999,2,FALSE)</f>
        <v>0</v>
      </c>
      <c r="D12">
        <f>VLOOKUP($B12,固定値!$BL$1:$BU$999,3,FALSE)</f>
        <v>0</v>
      </c>
      <c r="E12">
        <f>VLOOKUP($B12,固定値!$BL$1:$BU$999,4,FALSE)</f>
        <v>0</v>
      </c>
      <c r="F12">
        <f>VLOOKUP($B12,固定値!$BL$1:$BU$999,5,FALSE)</f>
        <v>0</v>
      </c>
      <c r="G12">
        <f>VLOOKUP($B12,固定値!$BL$1:$BU$999,6,FALSE)</f>
        <v>0</v>
      </c>
      <c r="H12">
        <f>VLOOKUP($B12,固定値!$BL$1:$BU$999,7,FALSE)</f>
        <v>0</v>
      </c>
      <c r="I12">
        <f>VLOOKUP($B12,固定値!$BL$1:$BU$999,8,FALSE)</f>
        <v>0</v>
      </c>
      <c r="J12">
        <f>VLOOKUP($B12,固定値!$BL$1:$BU$999,9,FALSE)</f>
        <v>10</v>
      </c>
      <c r="K12" s="6" t="str">
        <f t="shared" si="1"/>
        <v xml:space="preserve">
治癒の水薬</v>
      </c>
    </row>
    <row r="13" spans="2:12" ht="14.15" customHeight="1">
      <c r="B13" t="str">
        <f>作成シート!C111</f>
        <v>なし</v>
      </c>
      <c r="C13">
        <f>VLOOKUP(B13,固定値!$BL$1:$BM$999,2,FALSE)</f>
        <v>0</v>
      </c>
      <c r="D13">
        <f>VLOOKUP($B13,固定値!$BL$1:$BU$999,3,FALSE)</f>
        <v>0</v>
      </c>
      <c r="E13">
        <f>VLOOKUP($B13,固定値!$BL$1:$BU$999,4,FALSE)</f>
        <v>0</v>
      </c>
      <c r="F13">
        <f>VLOOKUP($B13,固定値!$BL$1:$BU$999,5,FALSE)</f>
        <v>0</v>
      </c>
      <c r="G13">
        <f>VLOOKUP($B13,固定値!$BL$1:$BU$999,6,FALSE)</f>
        <v>0</v>
      </c>
      <c r="H13">
        <f>VLOOKUP($B13,固定値!$BL$1:$BU$999,7,FALSE)</f>
        <v>0</v>
      </c>
      <c r="I13">
        <f>VLOOKUP($B13,固定値!$BL$1:$BU$999,8,FALSE)</f>
        <v>0</v>
      </c>
      <c r="J13">
        <f>VLOOKUP($B13,固定値!$BL$1:$BU$999,9,FALSE)</f>
        <v>0</v>
      </c>
      <c r="K13" s="6" t="str">
        <f t="shared" si="1"/>
        <v/>
      </c>
    </row>
    <row r="14" spans="2:12" ht="14.15" customHeight="1">
      <c r="B14" t="str">
        <f>作成シート!C112</f>
        <v>なし</v>
      </c>
      <c r="C14">
        <f>VLOOKUP(B14,固定値!$BL$1:$BM$999,2,FALSE)</f>
        <v>0</v>
      </c>
      <c r="D14">
        <f>VLOOKUP($B14,固定値!$BL$1:$BU$999,3,FALSE)</f>
        <v>0</v>
      </c>
      <c r="E14">
        <f>VLOOKUP($B14,固定値!$BL$1:$BU$999,4,FALSE)</f>
        <v>0</v>
      </c>
      <c r="F14">
        <f>VLOOKUP($B14,固定値!$BL$1:$BU$999,5,FALSE)</f>
        <v>0</v>
      </c>
      <c r="G14">
        <f>VLOOKUP($B14,固定値!$BL$1:$BU$999,6,FALSE)</f>
        <v>0</v>
      </c>
      <c r="H14">
        <f>VLOOKUP($B14,固定値!$BL$1:$BU$999,7,FALSE)</f>
        <v>0</v>
      </c>
      <c r="I14">
        <f>VLOOKUP($B14,固定値!$BL$1:$BU$999,8,FALSE)</f>
        <v>0</v>
      </c>
      <c r="J14">
        <f>VLOOKUP($B14,固定値!$BL$1:$BU$999,9,FALSE)</f>
        <v>0</v>
      </c>
      <c r="K14" s="6" t="str">
        <f t="shared" si="1"/>
        <v/>
      </c>
    </row>
    <row r="15" spans="2:12" ht="14.15" customHeight="1">
      <c r="B15" t="str">
        <f>作成シート!C113</f>
        <v>なし</v>
      </c>
      <c r="C15">
        <f>VLOOKUP(B15,固定値!$BL$1:$BM$999,2,FALSE)</f>
        <v>0</v>
      </c>
      <c r="D15">
        <f>VLOOKUP($B15,固定値!$BL$1:$BU$999,3,FALSE)</f>
        <v>0</v>
      </c>
      <c r="E15">
        <f>VLOOKUP($B15,固定値!$BL$1:$BU$999,4,FALSE)</f>
        <v>0</v>
      </c>
      <c r="F15">
        <f>VLOOKUP($B15,固定値!$BL$1:$BU$999,5,FALSE)</f>
        <v>0</v>
      </c>
      <c r="G15">
        <f>VLOOKUP($B15,固定値!$BL$1:$BU$999,6,FALSE)</f>
        <v>0</v>
      </c>
      <c r="H15">
        <f>VLOOKUP($B15,固定値!$BL$1:$BU$999,7,FALSE)</f>
        <v>0</v>
      </c>
      <c r="I15">
        <f>VLOOKUP($B15,固定値!$BL$1:$BU$999,8,FALSE)</f>
        <v>0</v>
      </c>
      <c r="J15">
        <f>VLOOKUP($B15,固定値!$BL$1:$BU$999,9,FALSE)</f>
        <v>0</v>
      </c>
      <c r="K15" s="6" t="str">
        <f t="shared" si="1"/>
        <v/>
      </c>
    </row>
    <row r="16" spans="2:12" ht="14.15" customHeight="1">
      <c r="B16" t="str">
        <f>作成シート!C114</f>
        <v>なし</v>
      </c>
      <c r="C16">
        <f>VLOOKUP(B16,固定値!$BL$1:$BM$999,2,FALSE)</f>
        <v>0</v>
      </c>
      <c r="D16">
        <f>VLOOKUP($B16,固定値!$BL$1:$BU$999,3,FALSE)</f>
        <v>0</v>
      </c>
      <c r="E16">
        <f>VLOOKUP($B16,固定値!$BL$1:$BU$999,4,FALSE)</f>
        <v>0</v>
      </c>
      <c r="F16">
        <f>VLOOKUP($B16,固定値!$BL$1:$BU$999,5,FALSE)</f>
        <v>0</v>
      </c>
      <c r="G16">
        <f>VLOOKUP($B16,固定値!$BL$1:$BU$999,6,FALSE)</f>
        <v>0</v>
      </c>
      <c r="H16">
        <f>VLOOKUP($B16,固定値!$BL$1:$BU$999,7,FALSE)</f>
        <v>0</v>
      </c>
      <c r="I16">
        <f>VLOOKUP($B16,固定値!$BL$1:$BU$999,8,FALSE)</f>
        <v>0</v>
      </c>
      <c r="J16">
        <f>VLOOKUP($B16,固定値!$BL$1:$BU$999,9,FALSE)</f>
        <v>0</v>
      </c>
      <c r="K16" s="6" t="str">
        <f t="shared" si="1"/>
        <v/>
      </c>
    </row>
    <row r="17" spans="2:11" ht="14.15" customHeight="1">
      <c r="B17" t="str">
        <f>作成シート!C115</f>
        <v>なし</v>
      </c>
      <c r="C17">
        <f>VLOOKUP(B17,固定値!$BL$1:$BM$999,2,FALSE)</f>
        <v>0</v>
      </c>
      <c r="D17">
        <f>VLOOKUP($B17,固定値!$BL$1:$BU$999,3,FALSE)</f>
        <v>0</v>
      </c>
      <c r="E17">
        <f>VLOOKUP($B17,固定値!$BL$1:$BU$999,4,FALSE)</f>
        <v>0</v>
      </c>
      <c r="F17">
        <f>VLOOKUP($B17,固定値!$BL$1:$BU$999,5,FALSE)</f>
        <v>0</v>
      </c>
      <c r="G17">
        <f>VLOOKUP($B17,固定値!$BL$1:$BU$999,6,FALSE)</f>
        <v>0</v>
      </c>
      <c r="H17">
        <f>VLOOKUP($B17,固定値!$BL$1:$BU$999,7,FALSE)</f>
        <v>0</v>
      </c>
      <c r="I17">
        <f>VLOOKUP($B17,固定値!$BL$1:$BU$999,8,FALSE)</f>
        <v>0</v>
      </c>
      <c r="J17">
        <f>VLOOKUP($B17,固定値!$BL$1:$BU$999,9,FALSE)</f>
        <v>0</v>
      </c>
      <c r="K17" s="6" t="str">
        <f t="shared" si="1"/>
        <v/>
      </c>
    </row>
    <row r="18" spans="2:11" ht="14.15" customHeight="1">
      <c r="B18" t="str">
        <f>作成シート!C116</f>
        <v>なし</v>
      </c>
      <c r="C18">
        <f>VLOOKUP(B18,固定値!$BL$1:$BM$999,2,FALSE)</f>
        <v>0</v>
      </c>
      <c r="D18">
        <f>VLOOKUP($B18,固定値!$BL$1:$BU$999,3,FALSE)</f>
        <v>0</v>
      </c>
      <c r="E18">
        <f>VLOOKUP($B18,固定値!$BL$1:$BU$999,4,FALSE)</f>
        <v>0</v>
      </c>
      <c r="F18">
        <f>VLOOKUP($B18,固定値!$BL$1:$BU$999,5,FALSE)</f>
        <v>0</v>
      </c>
      <c r="G18">
        <f>VLOOKUP($B18,固定値!$BL$1:$BU$999,6,FALSE)</f>
        <v>0</v>
      </c>
      <c r="H18">
        <f>VLOOKUP($B18,固定値!$BL$1:$BU$999,7,FALSE)</f>
        <v>0</v>
      </c>
      <c r="I18">
        <f>VLOOKUP($B18,固定値!$BL$1:$BU$999,8,FALSE)</f>
        <v>0</v>
      </c>
      <c r="J18">
        <f>VLOOKUP($B18,固定値!$BL$1:$BU$999,9,FALSE)</f>
        <v>0</v>
      </c>
      <c r="K18" s="6" t="str">
        <f t="shared" si="1"/>
        <v/>
      </c>
    </row>
    <row r="19" spans="2:11" ht="14.15" customHeight="1">
      <c r="B19" t="str">
        <f>作成シート!C117</f>
        <v>なし</v>
      </c>
      <c r="C19">
        <f>VLOOKUP(B19,固定値!$BL$1:$BM$999,2,FALSE)</f>
        <v>0</v>
      </c>
      <c r="D19">
        <f>VLOOKUP($B19,固定値!$BL$1:$BU$999,3,FALSE)</f>
        <v>0</v>
      </c>
      <c r="E19">
        <f>VLOOKUP($B19,固定値!$BL$1:$BU$999,4,FALSE)</f>
        <v>0</v>
      </c>
      <c r="F19">
        <f>VLOOKUP($B19,固定値!$BL$1:$BU$999,5,FALSE)</f>
        <v>0</v>
      </c>
      <c r="G19">
        <f>VLOOKUP($B19,固定値!$BL$1:$BU$999,6,FALSE)</f>
        <v>0</v>
      </c>
      <c r="H19">
        <f>VLOOKUP($B19,固定値!$BL$1:$BU$999,7,FALSE)</f>
        <v>0</v>
      </c>
      <c r="I19">
        <f>VLOOKUP($B19,固定値!$BL$1:$BU$999,8,FALSE)</f>
        <v>0</v>
      </c>
      <c r="J19">
        <f>VLOOKUP($B19,固定値!$BL$1:$BU$999,9,FALSE)</f>
        <v>0</v>
      </c>
      <c r="K19" s="6" t="str">
        <f t="shared" si="1"/>
        <v/>
      </c>
    </row>
    <row r="20" spans="2:11">
      <c r="B20" t="str">
        <f>作成シート!C118</f>
        <v>なし</v>
      </c>
      <c r="C20">
        <f>VLOOKUP(B20,固定値!$BL$1:$BM$999,2,FALSE)</f>
        <v>0</v>
      </c>
      <c r="D20">
        <f>VLOOKUP($B20,固定値!$BL$1:$BU$999,3,FALSE)</f>
        <v>0</v>
      </c>
      <c r="E20">
        <f>VLOOKUP($B20,固定値!$BL$1:$BU$999,4,FALSE)</f>
        <v>0</v>
      </c>
      <c r="F20">
        <f>VLOOKUP($B20,固定値!$BL$1:$BU$999,5,FALSE)</f>
        <v>0</v>
      </c>
      <c r="G20">
        <f>VLOOKUP($B20,固定値!$BL$1:$BU$999,6,FALSE)</f>
        <v>0</v>
      </c>
      <c r="H20">
        <f>VLOOKUP($B20,固定値!$BL$1:$BU$999,7,FALSE)</f>
        <v>0</v>
      </c>
      <c r="I20">
        <f>VLOOKUP($B20,固定値!$BL$1:$BU$999,8,FALSE)</f>
        <v>0</v>
      </c>
      <c r="J20">
        <f>VLOOKUP($B20,固定値!$BL$1:$BU$999,9,FALSE)</f>
        <v>0</v>
      </c>
      <c r="K20" s="6" t="str">
        <f t="shared" si="1"/>
        <v/>
      </c>
    </row>
  </sheetData>
  <sheetProtection sheet="1" objects="1" scenarios="1" selectLockedCells="1" selectUnlockedCells="1"/>
  <phoneticPr fontId="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ラベル!$O$2:$O$78</xm:f>
          </x14:formula1>
          <xm:sqref>B3:B20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66</vt:i4>
      </vt:variant>
    </vt:vector>
  </HeadingPairs>
  <TitlesOfParts>
    <vt:vector size="90" baseType="lpstr">
      <vt:lpstr>作成シート</vt:lpstr>
      <vt:lpstr>冒険現在値</vt:lpstr>
      <vt:lpstr>戦闘現在値</vt:lpstr>
      <vt:lpstr>所持金</vt:lpstr>
      <vt:lpstr>冒険結果</vt:lpstr>
      <vt:lpstr>キャラクターシート</vt:lpstr>
      <vt:lpstr>テキストシート</vt:lpstr>
      <vt:lpstr>装備</vt:lpstr>
      <vt:lpstr>その他の所持品</vt:lpstr>
      <vt:lpstr>プロフィール</vt:lpstr>
      <vt:lpstr>能力値</vt:lpstr>
      <vt:lpstr>状態</vt:lpstr>
      <vt:lpstr>冒険者職業レベル</vt:lpstr>
      <vt:lpstr>習得呪文</vt:lpstr>
      <vt:lpstr>冒険者技能</vt:lpstr>
      <vt:lpstr>一般技能</vt:lpstr>
      <vt:lpstr>追加成長点</vt:lpstr>
      <vt:lpstr>エラー</vt:lpstr>
      <vt:lpstr>ラベル</vt:lpstr>
      <vt:lpstr>固定値</vt:lpstr>
      <vt:lpstr>武器表</vt:lpstr>
      <vt:lpstr>鎧表</vt:lpstr>
      <vt:lpstr>盾表</vt:lpstr>
      <vt:lpstr>計算シート</vt:lpstr>
      <vt:lpstr>なし</vt:lpstr>
      <vt:lpstr>一般技能</vt:lpstr>
      <vt:lpstr>一般技能_芸能</vt:lpstr>
      <vt:lpstr>一般技能_交渉</vt:lpstr>
      <vt:lpstr>一般技能_職人</vt:lpstr>
      <vt:lpstr>一般技能_信仰心</vt:lpstr>
      <vt:lpstr>一般技能_生産業</vt:lpstr>
      <vt:lpstr>鎧_衣鎧</vt:lpstr>
      <vt:lpstr>鎧_軽鎧</vt:lpstr>
      <vt:lpstr>鎧_重鎧</vt:lpstr>
      <vt:lpstr>鎧種別</vt:lpstr>
      <vt:lpstr>鎧種別絞り込みなし</vt:lpstr>
      <vt:lpstr>奇跡</vt:lpstr>
      <vt:lpstr>騎乗</vt:lpstr>
      <vt:lpstr>技能一覧</vt:lpstr>
      <vt:lpstr>技能一覧_初歩</vt:lpstr>
      <vt:lpstr>技能絞り込み</vt:lpstr>
      <vt:lpstr>技能絞り込みなし</vt:lpstr>
      <vt:lpstr>種族</vt:lpstr>
      <vt:lpstr>種別絞り込みなし</vt:lpstr>
      <vt:lpstr>呪文</vt:lpstr>
      <vt:lpstr>呪文種別</vt:lpstr>
      <vt:lpstr>盾種別</vt:lpstr>
      <vt:lpstr>盾種別絞り込みなし</vt:lpstr>
      <vt:lpstr>小型盾</vt:lpstr>
      <vt:lpstr>状態タイプ</vt:lpstr>
      <vt:lpstr>状態タイプ選択</vt:lpstr>
      <vt:lpstr>信仰</vt:lpstr>
      <vt:lpstr>真言呪文</vt:lpstr>
      <vt:lpstr>神官</vt:lpstr>
      <vt:lpstr>精霊使い</vt:lpstr>
      <vt:lpstr>精霊術</vt:lpstr>
      <vt:lpstr>斥候</vt:lpstr>
      <vt:lpstr>戦士</vt:lpstr>
      <vt:lpstr>祖竜術</vt:lpstr>
      <vt:lpstr>大型盾</vt:lpstr>
      <vt:lpstr>入手手段</vt:lpstr>
      <vt:lpstr>能力値タイプ</vt:lpstr>
      <vt:lpstr>武器_格闘武器</vt:lpstr>
      <vt:lpstr>武器_戦槌</vt:lpstr>
      <vt:lpstr>武器_槍</vt:lpstr>
      <vt:lpstr>武器_投擲武器</vt:lpstr>
      <vt:lpstr>武器_斧</vt:lpstr>
      <vt:lpstr>武器_片手剣</vt:lpstr>
      <vt:lpstr>武器_両手剣</vt:lpstr>
      <vt:lpstr>武器_弩弓</vt:lpstr>
      <vt:lpstr>武器_棍杖</vt:lpstr>
      <vt:lpstr>武器種別</vt:lpstr>
      <vt:lpstr>武器種別絞り込みなし</vt:lpstr>
      <vt:lpstr>武道家</vt:lpstr>
      <vt:lpstr>冒険アイテム</vt:lpstr>
      <vt:lpstr>冒険者技能_呪文遣い職業向け</vt:lpstr>
      <vt:lpstr>冒険者技能_呪文遣い職業向け_遣い手</vt:lpstr>
      <vt:lpstr>冒険者技能_呪文遣い職業向け_呪文熟達</vt:lpstr>
      <vt:lpstr>冒険者技能_呪文遣い職業向け_呪文増強</vt:lpstr>
      <vt:lpstr>冒険者技能_呪文遣い職業向け_呪文追加</vt:lpstr>
      <vt:lpstr>冒険者技能_職業共通</vt:lpstr>
      <vt:lpstr>冒険者技能_戦士系職業向け</vt:lpstr>
      <vt:lpstr>冒険者技能_戦士系職業向け_鎧</vt:lpstr>
      <vt:lpstr>冒険者技能_戦士系職業向け_攻撃</vt:lpstr>
      <vt:lpstr>冒険者技能_戦士系職業向け_武器</vt:lpstr>
      <vt:lpstr>冒険者職業絞り込みなし</vt:lpstr>
      <vt:lpstr>冒険者等級</vt:lpstr>
      <vt:lpstr>魔術師</vt:lpstr>
      <vt:lpstr>野伏</vt:lpstr>
      <vt:lpstr>竜司祭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2019-06-15T14:02:29Z</dcterms:created>
  <dcterms:modified xsi:type="dcterms:W3CDTF">2019-07-12T19:20:47Z</dcterms:modified>
  <cp:category/>
  <cp:contentStatus/>
</cp:coreProperties>
</file>